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onl008/Downloads/"/>
    </mc:Choice>
  </mc:AlternateContent>
  <xr:revisionPtr revIDLastSave="0" documentId="13_ncr:1_{993EAD56-43A3-6F4A-8DFD-766BAEEA7BD5}" xr6:coauthVersionLast="43" xr6:coauthVersionMax="43" xr10:uidLastSave="{00000000-0000-0000-0000-000000000000}"/>
  <bookViews>
    <workbookView xWindow="1980" yWindow="460" windowWidth="30600" windowHeight="16580" xr2:uid="{A5AE46A9-0843-5948-8473-310624274E59}"/>
  </bookViews>
  <sheets>
    <sheet name="Build-your-own" sheetId="12" r:id="rId1"/>
    <sheet name="Scenario 1—Robust test increase" sheetId="11" r:id="rId2"/>
    <sheet name="Scenario 2—Sudden test increase" sheetId="10" r:id="rId3"/>
    <sheet name="Scenario 3—Hi floor low ceiling" sheetId="9" r:id="rId4"/>
    <sheet name="Scenario 4—Tests decrease" sheetId="1" r:id="rId5"/>
    <sheet name="do not delete" sheetId="2" r:id="rId6"/>
  </sheets>
  <externalReferences>
    <externalReference r:id="rId7"/>
  </externalReferences>
  <definedNames>
    <definedName name="Begin_intermediate" localSheetId="0">'Build-your-own'!$B$10</definedName>
    <definedName name="Begin_intermediate" localSheetId="1">'Scenario 1—Robust test increase'!$B$10</definedName>
    <definedName name="Begin_intermediate" localSheetId="2">'Scenario 2—Sudden test increase'!$B$10</definedName>
    <definedName name="Begin_intermediate" localSheetId="3">'Scenario 3—Hi floor low ceiling'!$B$10</definedName>
    <definedName name="Begin_intermediate">'Scenario 4—Tests decrease'!$B$10</definedName>
    <definedName name="Begin_lockdown" localSheetId="0">'Build-your-own'!$B$11</definedName>
    <definedName name="Begin_lockdown" localSheetId="1">'Scenario 1—Robust test increase'!$B$11</definedName>
    <definedName name="Begin_lockdown" localSheetId="2">'Scenario 2—Sudden test increase'!$B$11</definedName>
    <definedName name="Begin_lockdown" localSheetId="3">'Scenario 3—Hi floor low ceiling'!$B$11</definedName>
    <definedName name="Begin_lockdown">'Scenario 4—Tests decrease'!$B$11</definedName>
    <definedName name="Cluster" localSheetId="0">'Build-your-own'!$B$8</definedName>
    <definedName name="Cluster" localSheetId="1">'Scenario 1—Robust test increase'!$B$8</definedName>
    <definedName name="Cluster" localSheetId="2">'Scenario 2—Sudden test increase'!$B$8</definedName>
    <definedName name="Cluster" localSheetId="3">'Scenario 3—Hi floor low ceiling'!$B$8</definedName>
    <definedName name="Cluster">'Scenario 4—Tests decrease'!$B$8</definedName>
    <definedName name="Cluster_vlookup">'do not delete'!$B$2:$C$5</definedName>
    <definedName name="Delay" localSheetId="0">'Build-your-own'!$B$41</definedName>
    <definedName name="Delay" localSheetId="1">'Scenario 1—Robust test increase'!$B$41</definedName>
    <definedName name="Delay" localSheetId="2">'Scenario 2—Sudden test increase'!$B$41</definedName>
    <definedName name="Delay" localSheetId="3">'Scenario 3—Hi floor low ceiling'!$B$41</definedName>
    <definedName name="Delay">'Scenario 4—Tests decrease'!$B$41</definedName>
    <definedName name="Desire_asy" localSheetId="0">'Build-your-own'!$B$28</definedName>
    <definedName name="Desire_asy" localSheetId="1">'Scenario 1—Robust test increase'!$B$28</definedName>
    <definedName name="Desire_asy" localSheetId="2">'Scenario 2—Sudden test increase'!$B$28</definedName>
    <definedName name="Desire_asy" localSheetId="3">'Scenario 3—Hi floor low ceiling'!$B$28</definedName>
    <definedName name="Desire_asy">'Scenario 4—Tests decrease'!$B$28</definedName>
    <definedName name="Desire_mild" localSheetId="0">'Build-your-own'!$B$27</definedName>
    <definedName name="Desire_mild" localSheetId="1">'Scenario 1—Robust test increase'!$B$27</definedName>
    <definedName name="Desire_mild" localSheetId="2">'Scenario 2—Sudden test increase'!$B$27</definedName>
    <definedName name="Desire_mild" localSheetId="3">'Scenario 3—Hi floor low ceiling'!$B$27</definedName>
    <definedName name="Desire_mild">'Scenario 4—Tests decrease'!$B$27</definedName>
    <definedName name="Desire_severe" localSheetId="0">'Build-your-own'!$B$26</definedName>
    <definedName name="Desire_severe" localSheetId="1">'Scenario 1—Robust test increase'!$B$26</definedName>
    <definedName name="Desire_severe" localSheetId="2">'Scenario 2—Sudden test increase'!$B$26</definedName>
    <definedName name="Desire_severe" localSheetId="3">'Scenario 3—Hi floor low ceiling'!$B$26</definedName>
    <definedName name="Desire_severe">'Scenario 4—Tests decrease'!$B$26</definedName>
    <definedName name="False_negative" localSheetId="0">'Build-your-own'!$B$38</definedName>
    <definedName name="False_negative" localSheetId="1">'Scenario 1—Robust test increase'!$B$38</definedName>
    <definedName name="False_negative" localSheetId="2">'Scenario 2—Sudden test increase'!$B$38</definedName>
    <definedName name="False_negative" localSheetId="3">'Scenario 3—Hi floor low ceiling'!$B$38</definedName>
    <definedName name="False_negative">'Scenario 4—Tests decrease'!$B$38</definedName>
    <definedName name="False_positive" localSheetId="0">'Build-your-own'!$B$39</definedName>
    <definedName name="False_positive" localSheetId="1">'Scenario 1—Robust test increase'!$B$39</definedName>
    <definedName name="False_positive" localSheetId="2">'Scenario 2—Sudden test increase'!$B$39</definedName>
    <definedName name="False_positive" localSheetId="3">'Scenario 3—Hi floor low ceiling'!$B$39</definedName>
    <definedName name="False_positive">'Scenario 4—Tests decrease'!$B$39</definedName>
    <definedName name="Faux_mild" localSheetId="0">'Build-your-own'!$B$24</definedName>
    <definedName name="Faux_mild" localSheetId="1">'Scenario 1—Robust test increase'!$B$24</definedName>
    <definedName name="Faux_mild" localSheetId="2">'Scenario 2—Sudden test increase'!$B$24</definedName>
    <definedName name="Faux_mild" localSheetId="3">'Scenario 3—Hi floor low ceiling'!$B$24</definedName>
    <definedName name="Faux_mild">'Scenario 4—Tests decrease'!$B$24</definedName>
    <definedName name="Faux_severe" localSheetId="0">'Build-your-own'!$B$23</definedName>
    <definedName name="Faux_severe" localSheetId="1">'Scenario 1—Robust test increase'!$B$23</definedName>
    <definedName name="Faux_severe" localSheetId="2">'Scenario 2—Sudden test increase'!$B$23</definedName>
    <definedName name="Faux_severe" localSheetId="3">'Scenario 3—Hi floor low ceiling'!$B$23</definedName>
    <definedName name="Faux_severe">'Scenario 4—Tests decrease'!$B$23</definedName>
    <definedName name="Initial_cases" localSheetId="0">'Build-your-own'!$B$21</definedName>
    <definedName name="Initial_cases" localSheetId="1">'Scenario 1—Robust test increase'!$B$21</definedName>
    <definedName name="Initial_cases" localSheetId="2">'Scenario 2—Sudden test increase'!$B$21</definedName>
    <definedName name="Initial_cases" localSheetId="3">'Scenario 3—Hi floor low ceiling'!$B$21</definedName>
    <definedName name="Initial_cases">'Scenario 4—Tests decrease'!$B$21</definedName>
    <definedName name="Initial_tests" localSheetId="0">'Build-your-own'!$B$31</definedName>
    <definedName name="Initial_tests" localSheetId="1">'Scenario 1—Robust test increase'!$B$31</definedName>
    <definedName name="Initial_tests" localSheetId="2">'Scenario 2—Sudden test increase'!$B$31</definedName>
    <definedName name="Initial_tests" localSheetId="3">'Scenario 3—Hi floor low ceiling'!$B$31</definedName>
    <definedName name="Initial_tests">'Scenario 4—Tests decrease'!$B$31</definedName>
    <definedName name="Pct_asy" localSheetId="0">'Build-your-own'!$B$13</definedName>
    <definedName name="Pct_asy" localSheetId="1">'Scenario 1—Robust test increase'!$B$13</definedName>
    <definedName name="Pct_asy" localSheetId="2">'Scenario 2—Sudden test increase'!$B$13</definedName>
    <definedName name="Pct_asy" localSheetId="3">'Scenario 3—Hi floor low ceiling'!$B$13</definedName>
    <definedName name="Pct_asy">'Scenario 4—Tests decrease'!$B$13</definedName>
    <definedName name="Pct_mild" localSheetId="0">'Build-your-own'!$B$14</definedName>
    <definedName name="Pct_mild" localSheetId="1">'Scenario 1—Robust test increase'!$B$14</definedName>
    <definedName name="Pct_mild" localSheetId="2">'Scenario 2—Sudden test increase'!$B$14</definedName>
    <definedName name="Pct_mild" localSheetId="3">'Scenario 3—Hi floor low ceiling'!$B$14</definedName>
    <definedName name="Pct_mild">'Scenario 4—Tests decrease'!$B$14</definedName>
    <definedName name="Population" localSheetId="0">'Build-your-own'!$B$20</definedName>
    <definedName name="Population" localSheetId="1">'Scenario 1—Robust test increase'!$B$20</definedName>
    <definedName name="Population" localSheetId="2">'Scenario 2—Sudden test increase'!$B$20</definedName>
    <definedName name="Population" localSheetId="3">'Scenario 3—Hi floor low ceiling'!$B$20</definedName>
    <definedName name="Population">'Scenario 4—Tests decrease'!$B$20</definedName>
    <definedName name="Ramp_period" localSheetId="0">'Build-your-own'!$B$32</definedName>
    <definedName name="Ramp_period" localSheetId="1">'Scenario 1—Robust test increase'!$B$32</definedName>
    <definedName name="Ramp_period" localSheetId="2">'Scenario 2—Sudden test increase'!$B$32</definedName>
    <definedName name="Ramp_period" localSheetId="3">'Scenario 3—Hi floor low ceiling'!$B$32</definedName>
    <definedName name="Ramp_period">'Scenario 4—Tests decrease'!$B$32</definedName>
    <definedName name="Rationed_tests" localSheetId="0">'Build-your-own'!$B$36</definedName>
    <definedName name="Rationed_tests" localSheetId="1">'Scenario 1—Robust test increase'!$B$36</definedName>
    <definedName name="Rationed_tests" localSheetId="2">'Scenario 2—Sudden test increase'!$B$36</definedName>
    <definedName name="Rationed_tests" localSheetId="3">'Scenario 3—Hi floor low ceiling'!$B$36</definedName>
    <definedName name="Rationed_tests">'Scenario 4—Tests decrease'!$B$36</definedName>
    <definedName name="Ro_intermediate" localSheetId="0">'Build-your-own'!$B$6</definedName>
    <definedName name="Ro_intermediate" localSheetId="1">'Scenario 1—Robust test increase'!$B$6</definedName>
    <definedName name="Ro_intermediate" localSheetId="2">'Scenario 2—Sudden test increase'!$B$6</definedName>
    <definedName name="Ro_intermediate" localSheetId="3">'Scenario 3—Hi floor low ceiling'!$B$6</definedName>
    <definedName name="Ro_intermediate">'Scenario 4—Tests decrease'!$B$6</definedName>
    <definedName name="Ro_lockdown" localSheetId="0">'Build-your-own'!$B$7</definedName>
    <definedName name="Ro_lockdown" localSheetId="1">'Scenario 1—Robust test increase'!$B$7</definedName>
    <definedName name="Ro_lockdown" localSheetId="2">'Scenario 2—Sudden test increase'!$B$7</definedName>
    <definedName name="Ro_lockdown" localSheetId="3">'Scenario 3—Hi floor low ceiling'!$B$7</definedName>
    <definedName name="Ro_lockdown">'Scenario 4—Tests decrease'!$B$7</definedName>
    <definedName name="Ro_uncontrolled" localSheetId="0">'Build-your-own'!$B$5</definedName>
    <definedName name="Ro_uncontrolled" localSheetId="1">'Scenario 1—Robust test increase'!$B$5</definedName>
    <definedName name="Ro_uncontrolled" localSheetId="2">'Scenario 2—Sudden test increase'!$B$5</definedName>
    <definedName name="Ro_uncontrolled" localSheetId="3">'Scenario 3—Hi floor low ceiling'!$B$5</definedName>
    <definedName name="Ro_uncontrolled">'Scenario 4—Tests decrease'!$B$5</definedName>
    <definedName name="Serial" localSheetId="0">'Build-your-own'!$B$17</definedName>
    <definedName name="Serial" localSheetId="1">'Scenario 1—Robust test increase'!$B$17</definedName>
    <definedName name="Serial" localSheetId="2">'Scenario 2—Sudden test increase'!$B$17</definedName>
    <definedName name="Serial" localSheetId="3">'Scenario 3—Hi floor low ceiling'!$B$17</definedName>
    <definedName name="Serial">'Scenario 4—Tests decrease'!$B$17</definedName>
    <definedName name="Test_growth_rate" localSheetId="0">'Build-your-own'!$B$33</definedName>
    <definedName name="Test_growth_rate" localSheetId="1">'Scenario 1—Robust test increase'!$B$33</definedName>
    <definedName name="Test_growth_rate" localSheetId="2">'Scenario 2—Sudden test increase'!$B$33</definedName>
    <definedName name="Test_growth_rate" localSheetId="3">'Scenario 3—Hi floor low ceiling'!$B$33</definedName>
    <definedName name="Test_growth_rate">'Scenario 4—Tests decrease'!$B$33</definedName>
    <definedName name="Tests_max" localSheetId="0">'Build-your-own'!$B$34</definedName>
    <definedName name="Tests_max" localSheetId="1">'Scenario 1—Robust test increase'!$B$34</definedName>
    <definedName name="Tests_max" localSheetId="2">'Scenario 2—Sudden test increase'!$B$34</definedName>
    <definedName name="Tests_max" localSheetId="3">'Scenario 3—Hi floor low ceiling'!$B$34</definedName>
    <definedName name="Tests_max">'Scenario 4—Tests decrease'!$B$34</definedName>
    <definedName name="Zero_date" localSheetId="0">'Build-your-own'!$B$16</definedName>
    <definedName name="Zero_date" localSheetId="1">'Scenario 1—Robust test increase'!$B$16</definedName>
    <definedName name="Zero_date" localSheetId="2">'Scenario 2—Sudden test increase'!$B$16</definedName>
    <definedName name="Zero_date" localSheetId="3">'Scenario 3—Hi floor low ceiling'!$B$16</definedName>
    <definedName name="Zero_date">'Scenario 4—Tests decrease'!$B$16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K6" i="12" l="1"/>
  <c r="S6" i="12"/>
  <c r="T6" i="12" s="1"/>
  <c r="N6" i="12"/>
  <c r="D6" i="12"/>
  <c r="V6" i="12" s="1"/>
  <c r="AL5" i="12"/>
  <c r="V5" i="12"/>
  <c r="S5" i="12"/>
  <c r="T5" i="12" s="1"/>
  <c r="N5" i="12"/>
  <c r="I5" i="12"/>
  <c r="E5" i="12"/>
  <c r="E6" i="12" s="1"/>
  <c r="E7" i="12" s="1"/>
  <c r="E8" i="12" s="1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AL6" i="11"/>
  <c r="AK6" i="11"/>
  <c r="S6" i="11"/>
  <c r="T6" i="11" s="1"/>
  <c r="N6" i="11"/>
  <c r="D6" i="11"/>
  <c r="D7" i="11" s="1"/>
  <c r="AL5" i="11"/>
  <c r="AM5" i="11" s="1"/>
  <c r="V5" i="11"/>
  <c r="S5" i="11"/>
  <c r="T5" i="11" s="1"/>
  <c r="N5" i="11"/>
  <c r="J5" i="11"/>
  <c r="W5" i="11" s="1"/>
  <c r="I5" i="11"/>
  <c r="E5" i="11"/>
  <c r="E6" i="11" s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D7" i="10"/>
  <c r="V7" i="10" s="1"/>
  <c r="AK6" i="10"/>
  <c r="S6" i="10"/>
  <c r="T6" i="10" s="1"/>
  <c r="N6" i="10"/>
  <c r="D6" i="10"/>
  <c r="V6" i="10" s="1"/>
  <c r="AL5" i="10"/>
  <c r="V5" i="10"/>
  <c r="S5" i="10"/>
  <c r="T5" i="10" s="1"/>
  <c r="N5" i="10"/>
  <c r="I5" i="10"/>
  <c r="E5" i="10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AK6" i="9"/>
  <c r="S6" i="9"/>
  <c r="T6" i="9" s="1"/>
  <c r="N6" i="9"/>
  <c r="D6" i="9"/>
  <c r="D7" i="9" s="1"/>
  <c r="AL5" i="9"/>
  <c r="AM5" i="9" s="1"/>
  <c r="V5" i="9"/>
  <c r="S5" i="9"/>
  <c r="T5" i="9" s="1"/>
  <c r="N5" i="9"/>
  <c r="I5" i="9"/>
  <c r="E5" i="9"/>
  <c r="E6" i="9" s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V5" i="1"/>
  <c r="E5" i="1"/>
  <c r="S5" i="1"/>
  <c r="T5" i="1" s="1"/>
  <c r="J5" i="9" l="1"/>
  <c r="AK7" i="10"/>
  <c r="AL7" i="10" s="1"/>
  <c r="Z5" i="11"/>
  <c r="Y5" i="12"/>
  <c r="D7" i="12"/>
  <c r="V7" i="12" s="1"/>
  <c r="L5" i="11"/>
  <c r="L5" i="9"/>
  <c r="L5" i="10"/>
  <c r="L5" i="12"/>
  <c r="I6" i="11"/>
  <c r="O6" i="12"/>
  <c r="AL6" i="12"/>
  <c r="AK7" i="12"/>
  <c r="AM6" i="11"/>
  <c r="J5" i="12"/>
  <c r="Z5" i="12"/>
  <c r="D8" i="12"/>
  <c r="O5" i="12"/>
  <c r="AM5" i="12"/>
  <c r="O5" i="11"/>
  <c r="O6" i="11"/>
  <c r="D8" i="11"/>
  <c r="AK7" i="11"/>
  <c r="V7" i="11"/>
  <c r="V6" i="11"/>
  <c r="Y5" i="11"/>
  <c r="O6" i="10"/>
  <c r="J5" i="10"/>
  <c r="Z5" i="10"/>
  <c r="Y5" i="10"/>
  <c r="D8" i="10"/>
  <c r="AL6" i="10"/>
  <c r="AM7" i="10"/>
  <c r="Z5" i="9"/>
  <c r="O5" i="10"/>
  <c r="AM5" i="10"/>
  <c r="W5" i="9"/>
  <c r="I6" i="9" s="1"/>
  <c r="G5" i="9" s="1"/>
  <c r="AL6" i="9"/>
  <c r="D8" i="9"/>
  <c r="V7" i="9"/>
  <c r="AK7" i="9"/>
  <c r="O6" i="9"/>
  <c r="O5" i="9"/>
  <c r="V6" i="9"/>
  <c r="Y5" i="9"/>
  <c r="N5" i="1"/>
  <c r="Z6" i="11" l="1"/>
  <c r="AD5" i="12"/>
  <c r="AH5" i="12" s="1"/>
  <c r="AC5" i="10"/>
  <c r="BE5" i="10" s="1"/>
  <c r="G5" i="11"/>
  <c r="J6" i="11"/>
  <c r="Q6" i="11" s="1"/>
  <c r="Y6" i="11"/>
  <c r="M5" i="11"/>
  <c r="W5" i="12"/>
  <c r="I6" i="12" s="1"/>
  <c r="Q5" i="12"/>
  <c r="M5" i="12"/>
  <c r="AL7" i="12"/>
  <c r="AM7" i="12"/>
  <c r="AM6" i="12"/>
  <c r="V8" i="12"/>
  <c r="D9" i="12"/>
  <c r="AK8" i="12"/>
  <c r="AA5" i="12"/>
  <c r="AC5" i="12" s="1"/>
  <c r="Q5" i="11"/>
  <c r="AA5" i="10"/>
  <c r="AD5" i="10" s="1"/>
  <c r="AH5" i="10" s="1"/>
  <c r="AL7" i="11"/>
  <c r="AA5" i="11"/>
  <c r="AC5" i="11" s="1"/>
  <c r="D9" i="11"/>
  <c r="AK8" i="11"/>
  <c r="V8" i="11"/>
  <c r="AA6" i="11"/>
  <c r="W6" i="11"/>
  <c r="I7" i="11" s="1"/>
  <c r="H5" i="11"/>
  <c r="Q5" i="10"/>
  <c r="M5" i="10"/>
  <c r="AM6" i="10"/>
  <c r="V8" i="10"/>
  <c r="D9" i="10"/>
  <c r="AK8" i="10"/>
  <c r="W5" i="10"/>
  <c r="I6" i="10" s="1"/>
  <c r="AM6" i="9"/>
  <c r="AL7" i="9"/>
  <c r="AM7" i="9" s="1"/>
  <c r="Z6" i="9"/>
  <c r="Y6" i="9"/>
  <c r="M5" i="9"/>
  <c r="Q5" i="9"/>
  <c r="V8" i="9"/>
  <c r="AK8" i="9"/>
  <c r="D9" i="9"/>
  <c r="AA5" i="9"/>
  <c r="AD5" i="9" s="1"/>
  <c r="AH5" i="9" s="1"/>
  <c r="J6" i="9"/>
  <c r="Q6" i="9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D6" i="1"/>
  <c r="V6" i="1" s="1"/>
  <c r="BE5" i="12" l="1"/>
  <c r="AG5" i="12"/>
  <c r="AC6" i="11"/>
  <c r="G6" i="11"/>
  <c r="AD6" i="11"/>
  <c r="BF6" i="11" s="1"/>
  <c r="AC6" i="9"/>
  <c r="BE6" i="9" s="1"/>
  <c r="AD6" i="9"/>
  <c r="AD5" i="11"/>
  <c r="AC5" i="9"/>
  <c r="BE5" i="9" s="1"/>
  <c r="G5" i="12"/>
  <c r="BF5" i="12"/>
  <c r="G5" i="10"/>
  <c r="BE6" i="11"/>
  <c r="BF5" i="10"/>
  <c r="D10" i="12"/>
  <c r="AK9" i="12"/>
  <c r="V9" i="12"/>
  <c r="AO5" i="12"/>
  <c r="AS5" i="12" s="1"/>
  <c r="Z6" i="12"/>
  <c r="Y6" i="12"/>
  <c r="J6" i="12"/>
  <c r="AL8" i="12"/>
  <c r="AM8" i="12" s="1"/>
  <c r="AE5" i="12"/>
  <c r="AI5" i="12" s="1"/>
  <c r="AG5" i="11"/>
  <c r="AE5" i="11"/>
  <c r="AI5" i="11" s="1"/>
  <c r="BE5" i="11"/>
  <c r="AE6" i="11"/>
  <c r="AM7" i="11"/>
  <c r="Z7" i="11"/>
  <c r="Y7" i="11"/>
  <c r="J7" i="11"/>
  <c r="AL8" i="11"/>
  <c r="AM8" i="11" s="1"/>
  <c r="D10" i="11"/>
  <c r="AK9" i="11"/>
  <c r="V9" i="11"/>
  <c r="AL8" i="10"/>
  <c r="AM8" i="10" s="1"/>
  <c r="D10" i="10"/>
  <c r="AK9" i="10"/>
  <c r="V9" i="10"/>
  <c r="Y6" i="10"/>
  <c r="Z6" i="10"/>
  <c r="J6" i="10"/>
  <c r="BF5" i="9"/>
  <c r="AG5" i="10"/>
  <c r="AE5" i="10"/>
  <c r="D10" i="9"/>
  <c r="V9" i="9"/>
  <c r="AK9" i="9"/>
  <c r="AL8" i="9"/>
  <c r="W6" i="9"/>
  <c r="I7" i="9" s="1"/>
  <c r="H5" i="9"/>
  <c r="AG5" i="9"/>
  <c r="AE5" i="9"/>
  <c r="AI5" i="9" s="1"/>
  <c r="AA6" i="9"/>
  <c r="D7" i="1"/>
  <c r="V7" i="1" s="1"/>
  <c r="O5" i="1"/>
  <c r="AL5" i="1"/>
  <c r="AM5" i="1" s="1"/>
  <c r="AK6" i="1"/>
  <c r="I5" i="1"/>
  <c r="G6" i="9" l="1"/>
  <c r="Y5" i="1"/>
  <c r="AA6" i="12"/>
  <c r="AD6" i="12" s="1"/>
  <c r="BF6" i="12" s="1"/>
  <c r="AC6" i="12"/>
  <c r="AD6" i="10"/>
  <c r="BF6" i="10" s="1"/>
  <c r="AC7" i="11"/>
  <c r="AH5" i="11"/>
  <c r="BF5" i="11"/>
  <c r="AA7" i="11"/>
  <c r="AD7" i="11" s="1"/>
  <c r="BF7" i="11" s="1"/>
  <c r="AL9" i="12"/>
  <c r="AM9" i="12" s="1"/>
  <c r="W6" i="12"/>
  <c r="I7" i="12" s="1"/>
  <c r="H5" i="12"/>
  <c r="Q6" i="12"/>
  <c r="AP5" i="12"/>
  <c r="AT5" i="12" s="1"/>
  <c r="D11" i="12"/>
  <c r="AK10" i="12"/>
  <c r="V10" i="12"/>
  <c r="BG5" i="12"/>
  <c r="BE7" i="11"/>
  <c r="BG6" i="11"/>
  <c r="AL9" i="11"/>
  <c r="W7" i="11"/>
  <c r="I8" i="11" s="1"/>
  <c r="H6" i="11"/>
  <c r="AO5" i="11"/>
  <c r="D11" i="11"/>
  <c r="AK10" i="11"/>
  <c r="V10" i="11"/>
  <c r="BG5" i="11"/>
  <c r="AO5" i="10"/>
  <c r="AS5" i="10" s="1"/>
  <c r="W6" i="10"/>
  <c r="I7" i="10" s="1"/>
  <c r="Q6" i="10"/>
  <c r="H5" i="10"/>
  <c r="AL9" i="10"/>
  <c r="AM9" i="10"/>
  <c r="BG5" i="9"/>
  <c r="D11" i="10"/>
  <c r="V10" i="10"/>
  <c r="AK10" i="10"/>
  <c r="AI5" i="10"/>
  <c r="BG5" i="10"/>
  <c r="AA6" i="10"/>
  <c r="AC6" i="10" s="1"/>
  <c r="BE6" i="10" s="1"/>
  <c r="Z7" i="9"/>
  <c r="Y7" i="9"/>
  <c r="J7" i="9"/>
  <c r="AE6" i="9"/>
  <c r="BG6" i="9" s="1"/>
  <c r="AM8" i="9"/>
  <c r="AL9" i="9"/>
  <c r="AM9" i="9" s="1"/>
  <c r="BF6" i="9"/>
  <c r="AO5" i="9"/>
  <c r="AS5" i="9" s="1"/>
  <c r="V10" i="9"/>
  <c r="AK10" i="9"/>
  <c r="D11" i="9"/>
  <c r="AL6" i="1"/>
  <c r="AM6" i="1" s="1"/>
  <c r="AK7" i="1"/>
  <c r="D8" i="1"/>
  <c r="V8" i="1" s="1"/>
  <c r="J5" i="1"/>
  <c r="W5" i="1" s="1"/>
  <c r="Z5" i="1"/>
  <c r="AK8" i="1" l="1"/>
  <c r="G7" i="11"/>
  <c r="AC5" i="1"/>
  <c r="AG5" i="1" s="1"/>
  <c r="G6" i="10"/>
  <c r="AD7" i="9"/>
  <c r="G6" i="12"/>
  <c r="Y7" i="12"/>
  <c r="Z7" i="12"/>
  <c r="J7" i="12"/>
  <c r="AE6" i="12"/>
  <c r="AL10" i="12"/>
  <c r="BE6" i="12"/>
  <c r="D12" i="12"/>
  <c r="AK11" i="12"/>
  <c r="V11" i="12"/>
  <c r="AQ5" i="12"/>
  <c r="AU5" i="12" s="1"/>
  <c r="Z8" i="11"/>
  <c r="Y8" i="11"/>
  <c r="J8" i="11"/>
  <c r="AL10" i="11"/>
  <c r="D12" i="11"/>
  <c r="AK11" i="11"/>
  <c r="V11" i="11"/>
  <c r="AM9" i="11"/>
  <c r="AE7" i="11"/>
  <c r="AP5" i="11"/>
  <c r="AT5" i="11" s="1"/>
  <c r="AA7" i="9"/>
  <c r="AC7" i="9" s="1"/>
  <c r="AS5" i="11"/>
  <c r="AL10" i="10"/>
  <c r="AM10" i="10" s="1"/>
  <c r="Y7" i="10"/>
  <c r="Z7" i="10"/>
  <c r="J7" i="10"/>
  <c r="AE6" i="10"/>
  <c r="BG6" i="10" s="1"/>
  <c r="V11" i="10"/>
  <c r="D12" i="10"/>
  <c r="AK11" i="10"/>
  <c r="AP5" i="10"/>
  <c r="AT5" i="10" s="1"/>
  <c r="AL10" i="9"/>
  <c r="W7" i="9"/>
  <c r="I8" i="9" s="1"/>
  <c r="H6" i="9"/>
  <c r="AP5" i="9"/>
  <c r="AT5" i="9" s="1"/>
  <c r="BF7" i="9"/>
  <c r="D12" i="9"/>
  <c r="AK11" i="9"/>
  <c r="V11" i="9"/>
  <c r="AL7" i="1"/>
  <c r="AM7" i="1" s="1"/>
  <c r="D9" i="1"/>
  <c r="V9" i="1" s="1"/>
  <c r="I6" i="1"/>
  <c r="Q5" i="1"/>
  <c r="AA5" i="1"/>
  <c r="AD5" i="1" s="1"/>
  <c r="AH5" i="1" l="1"/>
  <c r="AE5" i="1"/>
  <c r="AI5" i="1" s="1"/>
  <c r="Y6" i="1"/>
  <c r="G5" i="1"/>
  <c r="AC7" i="12"/>
  <c r="G7" i="9"/>
  <c r="AK9" i="1"/>
  <c r="AA7" i="12"/>
  <c r="AD7" i="12" s="1"/>
  <c r="BF7" i="12" s="1"/>
  <c r="AW5" i="12"/>
  <c r="BA5" i="12" s="1"/>
  <c r="AX5" i="12"/>
  <c r="BB5" i="12" s="1"/>
  <c r="BJ5" i="12" s="1"/>
  <c r="W7" i="12"/>
  <c r="I8" i="12" s="1"/>
  <c r="H6" i="12"/>
  <c r="AM10" i="12"/>
  <c r="AL11" i="12"/>
  <c r="BG6" i="12"/>
  <c r="AQ5" i="11"/>
  <c r="AU5" i="11" s="1"/>
  <c r="D13" i="12"/>
  <c r="AK12" i="12"/>
  <c r="V12" i="12"/>
  <c r="AW5" i="11"/>
  <c r="BA5" i="11" s="1"/>
  <c r="AL11" i="11"/>
  <c r="AK12" i="11"/>
  <c r="D13" i="11"/>
  <c r="V12" i="11"/>
  <c r="W8" i="11"/>
  <c r="I9" i="11" s="1"/>
  <c r="H7" i="11"/>
  <c r="AM10" i="11"/>
  <c r="BG7" i="11"/>
  <c r="AA8" i="11"/>
  <c r="AC8" i="11" s="1"/>
  <c r="V12" i="10"/>
  <c r="D13" i="10"/>
  <c r="AK12" i="10"/>
  <c r="W7" i="10"/>
  <c r="I8" i="10" s="1"/>
  <c r="H6" i="10"/>
  <c r="AL11" i="10"/>
  <c r="AM11" i="10" s="1"/>
  <c r="AQ5" i="10"/>
  <c r="AU5" i="10" s="1"/>
  <c r="AW5" i="10" s="1"/>
  <c r="BA5" i="10" s="1"/>
  <c r="AA7" i="10"/>
  <c r="AC7" i="10" s="1"/>
  <c r="AE7" i="9"/>
  <c r="AQ5" i="9"/>
  <c r="AU5" i="9" s="1"/>
  <c r="AX5" i="9" s="1"/>
  <c r="BB5" i="9" s="1"/>
  <c r="BJ5" i="9" s="1"/>
  <c r="Z8" i="9"/>
  <c r="Y8" i="9"/>
  <c r="J8" i="9"/>
  <c r="AL11" i="9"/>
  <c r="AM11" i="9" s="1"/>
  <c r="V12" i="9"/>
  <c r="AK12" i="9"/>
  <c r="D13" i="9"/>
  <c r="BE7" i="9"/>
  <c r="AM10" i="9"/>
  <c r="D10" i="1"/>
  <c r="V10" i="1" s="1"/>
  <c r="Z6" i="1"/>
  <c r="J6" i="1"/>
  <c r="BE5" i="1"/>
  <c r="AL8" i="1"/>
  <c r="AM8" i="1" s="1"/>
  <c r="AL9" i="1"/>
  <c r="AM9" i="1" s="1"/>
  <c r="BF5" i="1"/>
  <c r="AK10" i="1" l="1"/>
  <c r="AD7" i="10"/>
  <c r="AD8" i="11"/>
  <c r="BF8" i="11" s="1"/>
  <c r="G7" i="12"/>
  <c r="AC6" i="1"/>
  <c r="G7" i="10"/>
  <c r="G8" i="11"/>
  <c r="AY5" i="12"/>
  <c r="BC5" i="12" s="1"/>
  <c r="BK5" i="12" s="1"/>
  <c r="AC8" i="9"/>
  <c r="BE8" i="9" s="1"/>
  <c r="AX5" i="11"/>
  <c r="BB5" i="11" s="1"/>
  <c r="BJ5" i="11" s="1"/>
  <c r="AE7" i="12"/>
  <c r="BE7" i="12"/>
  <c r="AM11" i="12"/>
  <c r="AL12" i="12"/>
  <c r="D14" i="12"/>
  <c r="AK13" i="12"/>
  <c r="V13" i="12"/>
  <c r="Y8" i="12"/>
  <c r="Z8" i="12"/>
  <c r="J8" i="12"/>
  <c r="BI5" i="12"/>
  <c r="AH6" i="12"/>
  <c r="AE8" i="11"/>
  <c r="BG8" i="11" s="1"/>
  <c r="AX5" i="10"/>
  <c r="BB5" i="10" s="1"/>
  <c r="BJ5" i="10" s="1"/>
  <c r="D14" i="11"/>
  <c r="V13" i="11"/>
  <c r="AK13" i="11"/>
  <c r="AL12" i="11"/>
  <c r="AM12" i="11" s="1"/>
  <c r="AM11" i="11"/>
  <c r="Z9" i="11"/>
  <c r="Y9" i="11"/>
  <c r="J9" i="11"/>
  <c r="BE8" i="11"/>
  <c r="BI5" i="11"/>
  <c r="Y8" i="10"/>
  <c r="Z8" i="10"/>
  <c r="J8" i="10"/>
  <c r="AL12" i="10"/>
  <c r="BI5" i="10"/>
  <c r="V13" i="10"/>
  <c r="D14" i="10"/>
  <c r="AK13" i="10"/>
  <c r="AE7" i="10"/>
  <c r="BF7" i="10"/>
  <c r="BE7" i="10"/>
  <c r="AY5" i="10"/>
  <c r="BC5" i="10" s="1"/>
  <c r="BK5" i="10" s="1"/>
  <c r="AA8" i="9"/>
  <c r="AD8" i="9" s="1"/>
  <c r="BF8" i="9" s="1"/>
  <c r="D14" i="9"/>
  <c r="AK13" i="9"/>
  <c r="V13" i="9"/>
  <c r="W8" i="9"/>
  <c r="I9" i="9" s="1"/>
  <c r="H7" i="9"/>
  <c r="AW5" i="9"/>
  <c r="BA5" i="9" s="1"/>
  <c r="AL12" i="9"/>
  <c r="BG7" i="9"/>
  <c r="D11" i="1"/>
  <c r="V11" i="1" s="1"/>
  <c r="H5" i="1"/>
  <c r="AA6" i="1"/>
  <c r="AD6" i="1" s="1"/>
  <c r="W6" i="1"/>
  <c r="AO5" i="1"/>
  <c r="AP5" i="1" s="1"/>
  <c r="AQ5" i="1" s="1"/>
  <c r="BG5" i="1"/>
  <c r="AE6" i="1" l="1"/>
  <c r="S7" i="12"/>
  <c r="T7" i="12" s="1"/>
  <c r="BM5" i="12"/>
  <c r="G8" i="9"/>
  <c r="AG6" i="12"/>
  <c r="AO6" i="12" s="1"/>
  <c r="AS6" i="12" s="1"/>
  <c r="AD8" i="10"/>
  <c r="BF8" i="10" s="1"/>
  <c r="AA9" i="11"/>
  <c r="AC9" i="11"/>
  <c r="AD9" i="11"/>
  <c r="AA8" i="12"/>
  <c r="AD8" i="12" s="1"/>
  <c r="AC8" i="12"/>
  <c r="AI6" i="12"/>
  <c r="AK11" i="1"/>
  <c r="AY5" i="11"/>
  <c r="BC5" i="11" s="1"/>
  <c r="AL13" i="12"/>
  <c r="D15" i="12"/>
  <c r="AK14" i="12"/>
  <c r="V14" i="12"/>
  <c r="W8" i="12"/>
  <c r="I9" i="12" s="1"/>
  <c r="H7" i="12"/>
  <c r="BG7" i="12"/>
  <c r="BN6" i="12"/>
  <c r="N7" i="12"/>
  <c r="AM12" i="12"/>
  <c r="AL13" i="11"/>
  <c r="W9" i="11"/>
  <c r="I10" i="11" s="1"/>
  <c r="H8" i="11"/>
  <c r="AG6" i="10"/>
  <c r="AO6" i="10" s="1"/>
  <c r="D15" i="11"/>
  <c r="AK14" i="11"/>
  <c r="V14" i="11"/>
  <c r="AA8" i="10"/>
  <c r="AC8" i="10" s="1"/>
  <c r="BE9" i="11"/>
  <c r="BF9" i="11"/>
  <c r="W8" i="10"/>
  <c r="I9" i="10" s="1"/>
  <c r="H7" i="10"/>
  <c r="AH6" i="10"/>
  <c r="S7" i="10"/>
  <c r="T7" i="10" s="1"/>
  <c r="BM5" i="10"/>
  <c r="AL13" i="10"/>
  <c r="AM13" i="10" s="1"/>
  <c r="V14" i="10"/>
  <c r="D15" i="10"/>
  <c r="AK14" i="10"/>
  <c r="AM12" i="10"/>
  <c r="BG7" i="10"/>
  <c r="AI6" i="10"/>
  <c r="AL13" i="9"/>
  <c r="D15" i="9"/>
  <c r="V14" i="9"/>
  <c r="AK14" i="9"/>
  <c r="BI5" i="9"/>
  <c r="AM12" i="9"/>
  <c r="AE8" i="9"/>
  <c r="BG8" i="9" s="1"/>
  <c r="Z9" i="9"/>
  <c r="Y9" i="9"/>
  <c r="J9" i="9"/>
  <c r="AY5" i="9"/>
  <c r="BC5" i="9" s="1"/>
  <c r="BK5" i="9" s="1"/>
  <c r="AL10" i="1"/>
  <c r="AM10" i="1" s="1"/>
  <c r="D12" i="1"/>
  <c r="V12" i="1" s="1"/>
  <c r="I7" i="1"/>
  <c r="AU5" i="1"/>
  <c r="AT5" i="1"/>
  <c r="AS5" i="1"/>
  <c r="G8" i="12" l="1"/>
  <c r="AK12" i="1"/>
  <c r="G9" i="11"/>
  <c r="G8" i="10"/>
  <c r="AL11" i="1"/>
  <c r="AM11" i="1" s="1"/>
  <c r="Y7" i="1"/>
  <c r="G6" i="1"/>
  <c r="BK5" i="11"/>
  <c r="BM5" i="11" s="1"/>
  <c r="AI6" i="11"/>
  <c r="AG6" i="11"/>
  <c r="AO6" i="11" s="1"/>
  <c r="AS6" i="11" s="1"/>
  <c r="S7" i="11"/>
  <c r="T7" i="11" s="1"/>
  <c r="AH6" i="11"/>
  <c r="L6" i="12"/>
  <c r="O7" i="12"/>
  <c r="AL14" i="12"/>
  <c r="AM14" i="12" s="1"/>
  <c r="BF8" i="12"/>
  <c r="D16" i="12"/>
  <c r="AK15" i="12"/>
  <c r="V15" i="12"/>
  <c r="AE8" i="12"/>
  <c r="AP6" i="12"/>
  <c r="AT6" i="12" s="1"/>
  <c r="BE8" i="12"/>
  <c r="S7" i="9"/>
  <c r="T7" i="9" s="1"/>
  <c r="AM13" i="12"/>
  <c r="Z9" i="12"/>
  <c r="Y9" i="12"/>
  <c r="J9" i="12"/>
  <c r="Z10" i="11"/>
  <c r="Y10" i="11"/>
  <c r="J10" i="11"/>
  <c r="AM13" i="11"/>
  <c r="AL14" i="11"/>
  <c r="D16" i="11"/>
  <c r="AK15" i="11"/>
  <c r="V15" i="11"/>
  <c r="AE9" i="11"/>
  <c r="V15" i="10"/>
  <c r="D16" i="10"/>
  <c r="AK15" i="10"/>
  <c r="AL14" i="10"/>
  <c r="AP6" i="10"/>
  <c r="AT6" i="10" s="1"/>
  <c r="AS6" i="10"/>
  <c r="AE8" i="10"/>
  <c r="Y9" i="10"/>
  <c r="Z9" i="10"/>
  <c r="J9" i="10"/>
  <c r="BM5" i="9"/>
  <c r="N7" i="9" s="1"/>
  <c r="BE8" i="10"/>
  <c r="BN6" i="10"/>
  <c r="N7" i="10"/>
  <c r="AL14" i="9"/>
  <c r="W9" i="9"/>
  <c r="I10" i="9" s="1"/>
  <c r="H8" i="9"/>
  <c r="AI6" i="9"/>
  <c r="D16" i="9"/>
  <c r="AK15" i="9"/>
  <c r="V15" i="9"/>
  <c r="AH6" i="9"/>
  <c r="AA9" i="9"/>
  <c r="AC9" i="9" s="1"/>
  <c r="BE9" i="9" s="1"/>
  <c r="AG6" i="9"/>
  <c r="AM13" i="9"/>
  <c r="D13" i="1"/>
  <c r="V13" i="1" s="1"/>
  <c r="AW5" i="1"/>
  <c r="BA5" i="1" s="1"/>
  <c r="AX5" i="1"/>
  <c r="BB5" i="1" s="1"/>
  <c r="BJ5" i="1" s="1"/>
  <c r="J7" i="1"/>
  <c r="W7" i="1" s="1"/>
  <c r="BF6" i="1"/>
  <c r="Z7" i="1"/>
  <c r="BE6" i="1"/>
  <c r="AL12" i="1"/>
  <c r="AM12" i="1" s="1"/>
  <c r="AD9" i="9" l="1"/>
  <c r="BF9" i="9" s="1"/>
  <c r="G9" i="9"/>
  <c r="AC10" i="11"/>
  <c r="BE10" i="11" s="1"/>
  <c r="AK13" i="1"/>
  <c r="AK14" i="1" s="1"/>
  <c r="AP6" i="11"/>
  <c r="AT6" i="11" s="1"/>
  <c r="AD9" i="10"/>
  <c r="BF9" i="10" s="1"/>
  <c r="N7" i="11"/>
  <c r="BN6" i="11"/>
  <c r="L6" i="9"/>
  <c r="L6" i="10"/>
  <c r="AA9" i="10"/>
  <c r="AC9" i="10" s="1"/>
  <c r="BE9" i="10" s="1"/>
  <c r="AQ6" i="12"/>
  <c r="AU6" i="12" s="1"/>
  <c r="AX6" i="12" s="1"/>
  <c r="BB6" i="12" s="1"/>
  <c r="BJ6" i="12" s="1"/>
  <c r="AQ6" i="11"/>
  <c r="AU6" i="11" s="1"/>
  <c r="AX6" i="11" s="1"/>
  <c r="BB6" i="11" s="1"/>
  <c r="BJ6" i="11" s="1"/>
  <c r="BG8" i="12"/>
  <c r="AA9" i="12"/>
  <c r="AD9" i="12" s="1"/>
  <c r="AL15" i="12"/>
  <c r="AM15" i="12" s="1"/>
  <c r="D17" i="12"/>
  <c r="AK16" i="12"/>
  <c r="V16" i="12"/>
  <c r="W9" i="12"/>
  <c r="I10" i="12" s="1"/>
  <c r="H8" i="12"/>
  <c r="Q7" i="12"/>
  <c r="M6" i="12"/>
  <c r="AA10" i="11"/>
  <c r="AD10" i="11" s="1"/>
  <c r="BF10" i="11" s="1"/>
  <c r="BG9" i="11"/>
  <c r="AL15" i="11"/>
  <c r="AM14" i="11"/>
  <c r="D17" i="11"/>
  <c r="AK16" i="11"/>
  <c r="V16" i="11"/>
  <c r="W10" i="11"/>
  <c r="I11" i="11" s="1"/>
  <c r="H9" i="11"/>
  <c r="W9" i="10"/>
  <c r="I10" i="10" s="1"/>
  <c r="H8" i="10"/>
  <c r="BN6" i="9"/>
  <c r="AM14" i="10"/>
  <c r="AQ6" i="10"/>
  <c r="AU6" i="10" s="1"/>
  <c r="AL15" i="10"/>
  <c r="O7" i="10"/>
  <c r="V16" i="10"/>
  <c r="D17" i="10"/>
  <c r="AK16" i="10"/>
  <c r="BG8" i="10"/>
  <c r="AE9" i="9"/>
  <c r="BG9" i="9" s="1"/>
  <c r="Z10" i="9"/>
  <c r="Y10" i="9"/>
  <c r="J10" i="9"/>
  <c r="AK16" i="9"/>
  <c r="D17" i="9"/>
  <c r="V16" i="9"/>
  <c r="O7" i="9"/>
  <c r="AM14" i="9"/>
  <c r="AO6" i="9"/>
  <c r="AL15" i="9"/>
  <c r="AM15" i="9" s="1"/>
  <c r="D14" i="1"/>
  <c r="V14" i="1" s="1"/>
  <c r="AY5" i="1"/>
  <c r="BC5" i="1" s="1"/>
  <c r="BK5" i="1" s="1"/>
  <c r="H6" i="1"/>
  <c r="AA7" i="1"/>
  <c r="AD7" i="1" s="1"/>
  <c r="BG6" i="1"/>
  <c r="I8" i="1"/>
  <c r="BI5" i="1"/>
  <c r="G9" i="10" l="1"/>
  <c r="AC9" i="12"/>
  <c r="BE9" i="12" s="1"/>
  <c r="AC7" i="1"/>
  <c r="AE7" i="1" s="1"/>
  <c r="AL13" i="1"/>
  <c r="AM13" i="1" s="1"/>
  <c r="AC10" i="9"/>
  <c r="AD10" i="9"/>
  <c r="G10" i="11"/>
  <c r="G9" i="12"/>
  <c r="Y8" i="1"/>
  <c r="G7" i="1"/>
  <c r="AW6" i="11"/>
  <c r="BA6" i="11" s="1"/>
  <c r="BI6" i="11" s="1"/>
  <c r="AW6" i="12"/>
  <c r="BA6" i="12" s="1"/>
  <c r="L6" i="11"/>
  <c r="O7" i="11"/>
  <c r="AY6" i="12"/>
  <c r="BC6" i="12" s="1"/>
  <c r="BK6" i="12" s="1"/>
  <c r="Z10" i="12"/>
  <c r="Y10" i="12"/>
  <c r="J10" i="12"/>
  <c r="AE9" i="12"/>
  <c r="BI6" i="12"/>
  <c r="AL16" i="12"/>
  <c r="AM16" i="12" s="1"/>
  <c r="D18" i="12"/>
  <c r="AK17" i="12"/>
  <c r="V17" i="12"/>
  <c r="BF9" i="12"/>
  <c r="AL16" i="11"/>
  <c r="AM16" i="11" s="1"/>
  <c r="AE10" i="11"/>
  <c r="BG10" i="11" s="1"/>
  <c r="D18" i="11"/>
  <c r="AK17" i="11"/>
  <c r="V17" i="11"/>
  <c r="Z11" i="11"/>
  <c r="Y11" i="11"/>
  <c r="J11" i="11"/>
  <c r="AM15" i="11"/>
  <c r="AL16" i="10"/>
  <c r="AM16" i="10" s="1"/>
  <c r="AW6" i="10"/>
  <c r="BA6" i="10" s="1"/>
  <c r="V17" i="10"/>
  <c r="D18" i="10"/>
  <c r="AK17" i="10"/>
  <c r="AX6" i="10"/>
  <c r="BB6" i="10" s="1"/>
  <c r="BJ6" i="10" s="1"/>
  <c r="Q7" i="10"/>
  <c r="M6" i="10"/>
  <c r="AM15" i="10"/>
  <c r="AE9" i="10"/>
  <c r="Y10" i="10"/>
  <c r="Z10" i="10"/>
  <c r="J10" i="10"/>
  <c r="BE10" i="9"/>
  <c r="BF10" i="9"/>
  <c r="D18" i="9"/>
  <c r="AK17" i="9"/>
  <c r="V17" i="9"/>
  <c r="Q7" i="9"/>
  <c r="M6" i="9"/>
  <c r="W10" i="9"/>
  <c r="I11" i="9" s="1"/>
  <c r="H9" i="9"/>
  <c r="AP6" i="9"/>
  <c r="AT6" i="9" s="1"/>
  <c r="AS6" i="9"/>
  <c r="AL16" i="9"/>
  <c r="AM16" i="9" s="1"/>
  <c r="AA10" i="9"/>
  <c r="AI6" i="1"/>
  <c r="AG6" i="1"/>
  <c r="AO6" i="1" s="1"/>
  <c r="AH6" i="1"/>
  <c r="D15" i="1"/>
  <c r="V15" i="1" s="1"/>
  <c r="Z8" i="1"/>
  <c r="J8" i="1"/>
  <c r="H7" i="1" s="1"/>
  <c r="BM5" i="1"/>
  <c r="G10" i="9" l="1"/>
  <c r="AD10" i="10"/>
  <c r="BF10" i="10" s="1"/>
  <c r="AD10" i="12"/>
  <c r="BF10" i="12" s="1"/>
  <c r="AY6" i="11"/>
  <c r="BC6" i="11" s="1"/>
  <c r="BK6" i="11" s="1"/>
  <c r="AK15" i="1"/>
  <c r="AH7" i="12"/>
  <c r="AI7" i="12"/>
  <c r="Q7" i="11"/>
  <c r="M6" i="11"/>
  <c r="BM6" i="12"/>
  <c r="N8" i="12" s="1"/>
  <c r="AG7" i="12"/>
  <c r="S8" i="12"/>
  <c r="AA11" i="11"/>
  <c r="AD11" i="11" s="1"/>
  <c r="BF11" i="11" s="1"/>
  <c r="W10" i="12"/>
  <c r="I11" i="12" s="1"/>
  <c r="H9" i="12"/>
  <c r="AL17" i="12"/>
  <c r="D19" i="12"/>
  <c r="AK18" i="12"/>
  <c r="V18" i="12"/>
  <c r="AO7" i="12"/>
  <c r="AA10" i="12"/>
  <c r="AC10" i="12" s="1"/>
  <c r="BG9" i="12"/>
  <c r="AG7" i="11"/>
  <c r="AI7" i="11"/>
  <c r="AH7" i="11"/>
  <c r="AA10" i="10"/>
  <c r="AC10" i="10" s="1"/>
  <c r="BE10" i="10" s="1"/>
  <c r="W11" i="11"/>
  <c r="I12" i="11" s="1"/>
  <c r="H10" i="11"/>
  <c r="AL17" i="11"/>
  <c r="AM17" i="11" s="1"/>
  <c r="BM6" i="11"/>
  <c r="D19" i="11"/>
  <c r="AK18" i="11"/>
  <c r="V18" i="11"/>
  <c r="S8" i="11"/>
  <c r="AL17" i="10"/>
  <c r="V18" i="10"/>
  <c r="D19" i="10"/>
  <c r="AK18" i="10"/>
  <c r="W10" i="10"/>
  <c r="I11" i="10" s="1"/>
  <c r="H9" i="10"/>
  <c r="AQ6" i="9"/>
  <c r="AU6" i="9" s="1"/>
  <c r="AX6" i="9" s="1"/>
  <c r="BB6" i="9" s="1"/>
  <c r="BJ6" i="9" s="1"/>
  <c r="BI6" i="10"/>
  <c r="BG9" i="10"/>
  <c r="AY6" i="10"/>
  <c r="BC6" i="10" s="1"/>
  <c r="AI7" i="10" s="1"/>
  <c r="AL17" i="9"/>
  <c r="V18" i="9"/>
  <c r="AK18" i="9"/>
  <c r="D19" i="9"/>
  <c r="Z11" i="9"/>
  <c r="Y11" i="9"/>
  <c r="J11" i="9"/>
  <c r="AE10" i="9"/>
  <c r="AS6" i="1"/>
  <c r="AP6" i="1"/>
  <c r="AT6" i="1" s="1"/>
  <c r="AL14" i="1"/>
  <c r="AM14" i="1" s="1"/>
  <c r="D16" i="1"/>
  <c r="V16" i="1" s="1"/>
  <c r="AA8" i="1"/>
  <c r="AC8" i="1" s="1"/>
  <c r="W8" i="1"/>
  <c r="AL15" i="1"/>
  <c r="AM15" i="1" s="1"/>
  <c r="G10" i="12" l="1"/>
  <c r="AD8" i="1"/>
  <c r="AE8" i="1" s="1"/>
  <c r="AK16" i="1"/>
  <c r="AK17" i="1" s="1"/>
  <c r="G11" i="11"/>
  <c r="G10" i="10"/>
  <c r="AC11" i="11"/>
  <c r="BE11" i="11" s="1"/>
  <c r="AC11" i="9"/>
  <c r="T8" i="12"/>
  <c r="L7" i="12"/>
  <c r="AW6" i="9"/>
  <c r="BA6" i="9" s="1"/>
  <c r="BI6" i="9" s="1"/>
  <c r="AP7" i="12"/>
  <c r="AT7" i="12" s="1"/>
  <c r="AA11" i="9"/>
  <c r="AD11" i="9" s="1"/>
  <c r="BF11" i="9" s="1"/>
  <c r="O8" i="12"/>
  <c r="AS7" i="12"/>
  <c r="AM17" i="12"/>
  <c r="AH7" i="10"/>
  <c r="AL18" i="12"/>
  <c r="AM18" i="12" s="1"/>
  <c r="Z11" i="12"/>
  <c r="Y11" i="12"/>
  <c r="J11" i="12"/>
  <c r="AE10" i="12"/>
  <c r="BG10" i="12" s="1"/>
  <c r="D20" i="12"/>
  <c r="AK19" i="12"/>
  <c r="V19" i="12"/>
  <c r="BE10" i="12"/>
  <c r="Z12" i="11"/>
  <c r="Y12" i="11"/>
  <c r="J12" i="11"/>
  <c r="AG7" i="10"/>
  <c r="AO7" i="10" s="1"/>
  <c r="AL18" i="11"/>
  <c r="AM18" i="11" s="1"/>
  <c r="N8" i="11"/>
  <c r="D20" i="11"/>
  <c r="AK19" i="11"/>
  <c r="V19" i="11"/>
  <c r="AE11" i="11"/>
  <c r="AO7" i="11"/>
  <c r="AS7" i="11" s="1"/>
  <c r="AL18" i="10"/>
  <c r="BK6" i="10"/>
  <c r="BM6" i="10" s="1"/>
  <c r="S8" i="10"/>
  <c r="V19" i="10"/>
  <c r="AK19" i="10"/>
  <c r="D20" i="10"/>
  <c r="AE10" i="10"/>
  <c r="AM17" i="10"/>
  <c r="Y11" i="10"/>
  <c r="Z11" i="10"/>
  <c r="J11" i="10"/>
  <c r="D20" i="9"/>
  <c r="AK19" i="9"/>
  <c r="V19" i="9"/>
  <c r="AL18" i="9"/>
  <c r="AM17" i="9"/>
  <c r="W11" i="9"/>
  <c r="I12" i="9" s="1"/>
  <c r="H10" i="9"/>
  <c r="BE11" i="9"/>
  <c r="BG10" i="9"/>
  <c r="AQ6" i="1"/>
  <c r="AU6" i="1" s="1"/>
  <c r="AX6" i="1" s="1"/>
  <c r="BB6" i="1" s="1"/>
  <c r="BJ6" i="1" s="1"/>
  <c r="S6" i="1"/>
  <c r="D17" i="1"/>
  <c r="V17" i="1" s="1"/>
  <c r="I9" i="1"/>
  <c r="AL16" i="1"/>
  <c r="AM16" i="1" s="1"/>
  <c r="Y9" i="1" l="1"/>
  <c r="G8" i="1"/>
  <c r="AC11" i="10"/>
  <c r="G11" i="9"/>
  <c r="AY6" i="9"/>
  <c r="BC6" i="9" s="1"/>
  <c r="BK6" i="9" s="1"/>
  <c r="AA11" i="12"/>
  <c r="AD11" i="12" s="1"/>
  <c r="L7" i="11"/>
  <c r="W11" i="12"/>
  <c r="I12" i="12" s="1"/>
  <c r="H10" i="12"/>
  <c r="Q8" i="12"/>
  <c r="M7" i="12"/>
  <c r="AQ7" i="12"/>
  <c r="AU7" i="12" s="1"/>
  <c r="AW7" i="12" s="1"/>
  <c r="BA7" i="12" s="1"/>
  <c r="AL19" i="12"/>
  <c r="AM19" i="12" s="1"/>
  <c r="AS7" i="10"/>
  <c r="D21" i="12"/>
  <c r="AK20" i="12"/>
  <c r="V20" i="12"/>
  <c r="O8" i="11"/>
  <c r="AW6" i="1"/>
  <c r="BA6" i="1" s="1"/>
  <c r="BG11" i="11"/>
  <c r="AA11" i="10"/>
  <c r="AD11" i="10" s="1"/>
  <c r="BF11" i="10" s="1"/>
  <c r="AL19" i="11"/>
  <c r="W12" i="11"/>
  <c r="I13" i="11" s="1"/>
  <c r="H11" i="11"/>
  <c r="T8" i="11"/>
  <c r="AA12" i="11"/>
  <c r="AD12" i="11" s="1"/>
  <c r="BF12" i="11" s="1"/>
  <c r="AK20" i="11"/>
  <c r="V20" i="11"/>
  <c r="D21" i="11"/>
  <c r="AP7" i="11"/>
  <c r="AT7" i="11" s="1"/>
  <c r="N8" i="10"/>
  <c r="AL19" i="10"/>
  <c r="AM19" i="10" s="1"/>
  <c r="W11" i="10"/>
  <c r="I12" i="10" s="1"/>
  <c r="H10" i="10"/>
  <c r="BG10" i="10"/>
  <c r="AP7" i="10"/>
  <c r="AT7" i="10" s="1"/>
  <c r="D21" i="10"/>
  <c r="V20" i="10"/>
  <c r="AK20" i="10"/>
  <c r="AM18" i="10"/>
  <c r="AI7" i="9"/>
  <c r="S8" i="9"/>
  <c r="AG7" i="9"/>
  <c r="AM18" i="9"/>
  <c r="AL19" i="9"/>
  <c r="Z12" i="9"/>
  <c r="Y12" i="9"/>
  <c r="J12" i="9"/>
  <c r="AH7" i="9"/>
  <c r="V20" i="9"/>
  <c r="AK20" i="9"/>
  <c r="D21" i="9"/>
  <c r="BM6" i="9"/>
  <c r="AE11" i="9"/>
  <c r="T6" i="1"/>
  <c r="D18" i="1"/>
  <c r="V18" i="1" s="1"/>
  <c r="BN6" i="1"/>
  <c r="J9" i="1"/>
  <c r="H8" i="1" s="1"/>
  <c r="Z9" i="1"/>
  <c r="AL17" i="1"/>
  <c r="AM17" i="1" s="1"/>
  <c r="AC11" i="12" l="1"/>
  <c r="BE11" i="12" s="1"/>
  <c r="G11" i="12"/>
  <c r="G11" i="10"/>
  <c r="AC12" i="11"/>
  <c r="BE12" i="11" s="1"/>
  <c r="AK18" i="1"/>
  <c r="AK19" i="1" s="1"/>
  <c r="AA12" i="9"/>
  <c r="AC12" i="9"/>
  <c r="AD12" i="9"/>
  <c r="BF12" i="9" s="1"/>
  <c r="G12" i="11"/>
  <c r="T8" i="10"/>
  <c r="L7" i="10"/>
  <c r="BI7" i="12"/>
  <c r="AE11" i="12"/>
  <c r="AL20" i="12"/>
  <c r="BF11" i="12"/>
  <c r="D22" i="12"/>
  <c r="AK21" i="12"/>
  <c r="V21" i="12"/>
  <c r="AX7" i="12"/>
  <c r="BB7" i="12" s="1"/>
  <c r="BJ7" i="12" s="1"/>
  <c r="Z12" i="12"/>
  <c r="Y12" i="12"/>
  <c r="J12" i="12"/>
  <c r="AQ7" i="11"/>
  <c r="AU7" i="11" s="1"/>
  <c r="AW7" i="11" s="1"/>
  <c r="BA7" i="11" s="1"/>
  <c r="Q8" i="11"/>
  <c r="M7" i="11"/>
  <c r="AY6" i="1"/>
  <c r="BC6" i="1" s="1"/>
  <c r="BK6" i="1" s="1"/>
  <c r="AK21" i="11"/>
  <c r="V21" i="11"/>
  <c r="D22" i="11"/>
  <c r="Z13" i="11"/>
  <c r="Y13" i="11"/>
  <c r="J13" i="11"/>
  <c r="AL20" i="11"/>
  <c r="AM20" i="11"/>
  <c r="AM19" i="11"/>
  <c r="AE11" i="10"/>
  <c r="D22" i="10"/>
  <c r="AK21" i="10"/>
  <c r="V21" i="10"/>
  <c r="AL20" i="10"/>
  <c r="AM20" i="10" s="1"/>
  <c r="O8" i="10"/>
  <c r="BE11" i="10"/>
  <c r="AQ7" i="10"/>
  <c r="AU7" i="10" s="1"/>
  <c r="AX7" i="10" s="1"/>
  <c r="Y12" i="10"/>
  <c r="Z12" i="10"/>
  <c r="J12" i="10"/>
  <c r="AL20" i="9"/>
  <c r="AM20" i="9" s="1"/>
  <c r="AM19" i="9"/>
  <c r="V21" i="9"/>
  <c r="D22" i="9"/>
  <c r="AK21" i="9"/>
  <c r="BG11" i="9"/>
  <c r="N8" i="9"/>
  <c r="W12" i="9"/>
  <c r="I13" i="9" s="1"/>
  <c r="H11" i="9"/>
  <c r="BE12" i="9"/>
  <c r="AO7" i="9"/>
  <c r="AS7" i="9" s="1"/>
  <c r="BI6" i="1"/>
  <c r="D19" i="1"/>
  <c r="V19" i="1" s="1"/>
  <c r="AA9" i="1"/>
  <c r="AD9" i="1" s="1"/>
  <c r="W9" i="1"/>
  <c r="AC9" i="1" l="1"/>
  <c r="AE9" i="1" s="1"/>
  <c r="AC12" i="12"/>
  <c r="BE12" i="12" s="1"/>
  <c r="G12" i="9"/>
  <c r="AA13" i="11"/>
  <c r="AC13" i="11" s="1"/>
  <c r="AE12" i="11"/>
  <c r="BG12" i="11" s="1"/>
  <c r="AD12" i="12"/>
  <c r="L7" i="9"/>
  <c r="AH7" i="1"/>
  <c r="BG11" i="12"/>
  <c r="AA12" i="10"/>
  <c r="AD12" i="10" s="1"/>
  <c r="BF12" i="10" s="1"/>
  <c r="AA12" i="12"/>
  <c r="AL21" i="12"/>
  <c r="D23" i="12"/>
  <c r="AK22" i="12"/>
  <c r="V22" i="12"/>
  <c r="AW7" i="10"/>
  <c r="BA7" i="10" s="1"/>
  <c r="BI7" i="10" s="1"/>
  <c r="BM6" i="1"/>
  <c r="N6" i="1" s="1"/>
  <c r="AM20" i="12"/>
  <c r="W12" i="12"/>
  <c r="I13" i="12" s="1"/>
  <c r="H11" i="12"/>
  <c r="AG7" i="1"/>
  <c r="AX7" i="11"/>
  <c r="BB7" i="11" s="1"/>
  <c r="BJ7" i="11" s="1"/>
  <c r="AY7" i="12"/>
  <c r="BC7" i="12" s="1"/>
  <c r="BK7" i="12" s="1"/>
  <c r="BM7" i="12" s="1"/>
  <c r="BN7" i="12" s="1"/>
  <c r="S9" i="12"/>
  <c r="W13" i="11"/>
  <c r="I14" i="11" s="1"/>
  <c r="H12" i="11"/>
  <c r="D23" i="11"/>
  <c r="AK22" i="11"/>
  <c r="V22" i="11"/>
  <c r="AI7" i="1"/>
  <c r="BI7" i="11"/>
  <c r="AL21" i="11"/>
  <c r="BB7" i="10"/>
  <c r="AL21" i="10"/>
  <c r="AM21" i="10" s="1"/>
  <c r="W12" i="10"/>
  <c r="I13" i="10" s="1"/>
  <c r="H11" i="10"/>
  <c r="D23" i="10"/>
  <c r="AK22" i="10"/>
  <c r="V22" i="10"/>
  <c r="Q8" i="10"/>
  <c r="M7" i="10"/>
  <c r="BG11" i="10"/>
  <c r="O8" i="9"/>
  <c r="V22" i="9"/>
  <c r="D23" i="9"/>
  <c r="AK22" i="9"/>
  <c r="AP7" i="9"/>
  <c r="AT7" i="9" s="1"/>
  <c r="T8" i="9"/>
  <c r="AE12" i="9"/>
  <c r="AL21" i="9"/>
  <c r="Z13" i="9"/>
  <c r="Y13" i="9"/>
  <c r="J13" i="9"/>
  <c r="BE7" i="1"/>
  <c r="AO7" i="1"/>
  <c r="BF7" i="1"/>
  <c r="AL18" i="1"/>
  <c r="AM18" i="1" s="1"/>
  <c r="D20" i="1"/>
  <c r="V20" i="1" s="1"/>
  <c r="I10" i="1"/>
  <c r="AL19" i="1"/>
  <c r="AM19" i="1" s="1"/>
  <c r="AK20" i="1" l="1"/>
  <c r="AC12" i="10"/>
  <c r="BE12" i="10" s="1"/>
  <c r="G12" i="10"/>
  <c r="G12" i="12"/>
  <c r="AI8" i="12"/>
  <c r="AD13" i="11"/>
  <c r="G9" i="1"/>
  <c r="G13" i="11"/>
  <c r="AY7" i="10"/>
  <c r="BC7" i="10" s="1"/>
  <c r="BK7" i="10" s="1"/>
  <c r="O6" i="1"/>
  <c r="Q6" i="1" s="1"/>
  <c r="L5" i="1"/>
  <c r="AH8" i="12"/>
  <c r="N9" i="12"/>
  <c r="BO7" i="12"/>
  <c r="Z13" i="12"/>
  <c r="Y13" i="12"/>
  <c r="J13" i="12"/>
  <c r="AL22" i="12"/>
  <c r="AE12" i="12"/>
  <c r="BG12" i="12" s="1"/>
  <c r="D24" i="12"/>
  <c r="AK23" i="12"/>
  <c r="V23" i="12"/>
  <c r="AG8" i="12"/>
  <c r="AY7" i="11"/>
  <c r="BC7" i="11" s="1"/>
  <c r="BK7" i="11" s="1"/>
  <c r="BM7" i="11" s="1"/>
  <c r="BN7" i="11" s="1"/>
  <c r="AM21" i="12"/>
  <c r="BF12" i="12"/>
  <c r="BF13" i="11"/>
  <c r="AI8" i="11"/>
  <c r="AE13" i="11"/>
  <c r="BE13" i="11"/>
  <c r="AL22" i="11"/>
  <c r="AM21" i="11"/>
  <c r="AH8" i="11"/>
  <c r="AK23" i="11"/>
  <c r="V23" i="11"/>
  <c r="D24" i="11"/>
  <c r="Z14" i="11"/>
  <c r="Y14" i="11"/>
  <c r="J14" i="11"/>
  <c r="Y13" i="10"/>
  <c r="Z13" i="10"/>
  <c r="J13" i="10"/>
  <c r="D24" i="10"/>
  <c r="AK23" i="10"/>
  <c r="V23" i="10"/>
  <c r="AQ7" i="9"/>
  <c r="AU7" i="9" s="1"/>
  <c r="AW7" i="9" s="1"/>
  <c r="AE12" i="10"/>
  <c r="AL22" i="10"/>
  <c r="AM22" i="10" s="1"/>
  <c r="BJ7" i="10"/>
  <c r="AL22" i="9"/>
  <c r="AM21" i="9"/>
  <c r="V23" i="9"/>
  <c r="D24" i="9"/>
  <c r="AK23" i="9"/>
  <c r="BG12" i="9"/>
  <c r="W13" i="9"/>
  <c r="I14" i="9" s="1"/>
  <c r="H12" i="9"/>
  <c r="Q8" i="9"/>
  <c r="M7" i="9"/>
  <c r="AA13" i="9"/>
  <c r="AC13" i="9" s="1"/>
  <c r="BE13" i="9" s="1"/>
  <c r="BG7" i="1"/>
  <c r="AS7" i="1"/>
  <c r="AP7" i="1"/>
  <c r="J10" i="1"/>
  <c r="H9" i="1" s="1"/>
  <c r="Y10" i="1"/>
  <c r="D21" i="1"/>
  <c r="V21" i="1" s="1"/>
  <c r="Z10" i="1"/>
  <c r="M5" i="1" l="1"/>
  <c r="AH8" i="10"/>
  <c r="S9" i="10"/>
  <c r="BM7" i="10"/>
  <c r="BN7" i="10" s="1"/>
  <c r="AD13" i="10"/>
  <c r="BF13" i="10" s="1"/>
  <c r="AK21" i="1"/>
  <c r="AA13" i="12"/>
  <c r="AD13" i="12" s="1"/>
  <c r="G13" i="9"/>
  <c r="AA13" i="10"/>
  <c r="AC13" i="10"/>
  <c r="AG8" i="10"/>
  <c r="AO8" i="10" s="1"/>
  <c r="AP8" i="10" s="1"/>
  <c r="AT8" i="10" s="1"/>
  <c r="AD13" i="9"/>
  <c r="AI8" i="10"/>
  <c r="T9" i="12"/>
  <c r="L8" i="12"/>
  <c r="AG8" i="11"/>
  <c r="AO8" i="11" s="1"/>
  <c r="AL23" i="12"/>
  <c r="D25" i="12"/>
  <c r="AK24" i="12"/>
  <c r="V24" i="12"/>
  <c r="S9" i="11"/>
  <c r="W13" i="12"/>
  <c r="I14" i="12" s="1"/>
  <c r="H12" i="12"/>
  <c r="AO8" i="12"/>
  <c r="AM22" i="12"/>
  <c r="O9" i="12"/>
  <c r="AX7" i="9"/>
  <c r="BB7" i="9" s="1"/>
  <c r="BJ7" i="9" s="1"/>
  <c r="AL23" i="11"/>
  <c r="AM23" i="11" s="1"/>
  <c r="BG13" i="11"/>
  <c r="W14" i="11"/>
  <c r="I15" i="11" s="1"/>
  <c r="H13" i="11"/>
  <c r="N9" i="11"/>
  <c r="BO7" i="11"/>
  <c r="AK24" i="11"/>
  <c r="V24" i="11"/>
  <c r="D25" i="11"/>
  <c r="AA14" i="11"/>
  <c r="AD14" i="11" s="1"/>
  <c r="AM22" i="11"/>
  <c r="BA7" i="9"/>
  <c r="BI7" i="9" s="1"/>
  <c r="AL23" i="10"/>
  <c r="AM23" i="10" s="1"/>
  <c r="D25" i="10"/>
  <c r="AK24" i="10"/>
  <c r="V24" i="10"/>
  <c r="W13" i="10"/>
  <c r="I14" i="10" s="1"/>
  <c r="H12" i="10"/>
  <c r="BG12" i="10"/>
  <c r="BF13" i="9"/>
  <c r="AM22" i="9"/>
  <c r="AE13" i="9"/>
  <c r="AL23" i="9"/>
  <c r="AM23" i="9" s="1"/>
  <c r="Z14" i="9"/>
  <c r="Y14" i="9"/>
  <c r="J14" i="9"/>
  <c r="V24" i="9"/>
  <c r="D25" i="9"/>
  <c r="AK24" i="9"/>
  <c r="AT7" i="1"/>
  <c r="AQ7" i="1"/>
  <c r="AU7" i="1" s="1"/>
  <c r="AL20" i="1"/>
  <c r="AM20" i="1" s="1"/>
  <c r="D22" i="1"/>
  <c r="V22" i="1" s="1"/>
  <c r="W10" i="1"/>
  <c r="AA10" i="1"/>
  <c r="AD10" i="1" s="1"/>
  <c r="AL21" i="1"/>
  <c r="AM21" i="1" s="1"/>
  <c r="G13" i="10" l="1"/>
  <c r="G14" i="11"/>
  <c r="N9" i="10"/>
  <c r="L8" i="10" s="1"/>
  <c r="BO7" i="10"/>
  <c r="G13" i="12"/>
  <c r="AC10" i="1"/>
  <c r="AE10" i="1" s="1"/>
  <c r="AC13" i="12"/>
  <c r="BE13" i="12" s="1"/>
  <c r="AC14" i="11"/>
  <c r="AS8" i="10"/>
  <c r="AD14" i="9"/>
  <c r="BF14" i="9" s="1"/>
  <c r="AK22" i="1"/>
  <c r="AK23" i="1" s="1"/>
  <c r="AY7" i="9"/>
  <c r="BC7" i="9" s="1"/>
  <c r="BK7" i="9" s="1"/>
  <c r="BM7" i="9" s="1"/>
  <c r="BN7" i="9" s="1"/>
  <c r="L8" i="11"/>
  <c r="AQ8" i="10"/>
  <c r="AU8" i="10" s="1"/>
  <c r="AX8" i="10" s="1"/>
  <c r="BB8" i="10" s="1"/>
  <c r="BJ8" i="10" s="1"/>
  <c r="AL24" i="12"/>
  <c r="AP8" i="12"/>
  <c r="AT8" i="12" s="1"/>
  <c r="AS8" i="12"/>
  <c r="AM23" i="12"/>
  <c r="BF13" i="12"/>
  <c r="D26" i="12"/>
  <c r="AK25" i="12"/>
  <c r="V25" i="12"/>
  <c r="Q9" i="12"/>
  <c r="M8" i="12"/>
  <c r="AE13" i="12"/>
  <c r="Z14" i="12"/>
  <c r="Y14" i="12"/>
  <c r="J14" i="12"/>
  <c r="AE14" i="11"/>
  <c r="BG14" i="11" s="1"/>
  <c r="BE14" i="11"/>
  <c r="O9" i="11"/>
  <c r="D26" i="11"/>
  <c r="AK25" i="11"/>
  <c r="V25" i="11"/>
  <c r="BF14" i="11"/>
  <c r="Z15" i="11"/>
  <c r="Y15" i="11"/>
  <c r="J15" i="11"/>
  <c r="AP8" i="11"/>
  <c r="AT8" i="11" s="1"/>
  <c r="T9" i="11"/>
  <c r="AS8" i="11"/>
  <c r="AL24" i="11"/>
  <c r="Y14" i="10"/>
  <c r="Z14" i="10"/>
  <c r="J14" i="10"/>
  <c r="AE13" i="10"/>
  <c r="BE13" i="10"/>
  <c r="AL24" i="10"/>
  <c r="AM24" i="10" s="1"/>
  <c r="D26" i="10"/>
  <c r="AK25" i="10"/>
  <c r="V25" i="10"/>
  <c r="AL24" i="9"/>
  <c r="AA14" i="9"/>
  <c r="AC14" i="9" s="1"/>
  <c r="BE14" i="9" s="1"/>
  <c r="V25" i="9"/>
  <c r="D26" i="9"/>
  <c r="AK25" i="9"/>
  <c r="BG13" i="9"/>
  <c r="W14" i="9"/>
  <c r="I15" i="9" s="1"/>
  <c r="H13" i="9"/>
  <c r="AX7" i="1"/>
  <c r="BB7" i="1" s="1"/>
  <c r="BJ7" i="1" s="1"/>
  <c r="AW7" i="1"/>
  <c r="D23" i="1"/>
  <c r="V23" i="1" s="1"/>
  <c r="I11" i="1"/>
  <c r="T9" i="10" l="1"/>
  <c r="O9" i="10"/>
  <c r="Q9" i="10" s="1"/>
  <c r="G10" i="1"/>
  <c r="AD15" i="11"/>
  <c r="S9" i="9"/>
  <c r="G14" i="9"/>
  <c r="AG8" i="9"/>
  <c r="AO8" i="9" s="1"/>
  <c r="AS8" i="9" s="1"/>
  <c r="AH8" i="9"/>
  <c r="AD14" i="12"/>
  <c r="AI8" i="9"/>
  <c r="AW8" i="10"/>
  <c r="BA8" i="10" s="1"/>
  <c r="BI8" i="10" s="1"/>
  <c r="N9" i="9"/>
  <c r="L8" i="9" s="1"/>
  <c r="BO7" i="9"/>
  <c r="AA14" i="12"/>
  <c r="AC14" i="12" s="1"/>
  <c r="BE14" i="12" s="1"/>
  <c r="W14" i="12"/>
  <c r="I15" i="12" s="1"/>
  <c r="H13" i="12"/>
  <c r="AA14" i="10"/>
  <c r="AC14" i="10" s="1"/>
  <c r="AL25" i="12"/>
  <c r="AA15" i="11"/>
  <c r="AC15" i="11" s="1"/>
  <c r="BE15" i="11" s="1"/>
  <c r="D27" i="12"/>
  <c r="AK26" i="12"/>
  <c r="V26" i="12"/>
  <c r="AQ8" i="12"/>
  <c r="AU8" i="12" s="1"/>
  <c r="AW8" i="12" s="1"/>
  <c r="BA8" i="12" s="1"/>
  <c r="BG13" i="12"/>
  <c r="AM24" i="12"/>
  <c r="AQ8" i="11"/>
  <c r="AU8" i="11" s="1"/>
  <c r="AX8" i="11" s="1"/>
  <c r="BB8" i="11" s="1"/>
  <c r="BJ8" i="11" s="1"/>
  <c r="AM24" i="11"/>
  <c r="W15" i="11"/>
  <c r="I16" i="11" s="1"/>
  <c r="H14" i="11"/>
  <c r="AL25" i="11"/>
  <c r="AM25" i="11" s="1"/>
  <c r="Q9" i="11"/>
  <c r="M8" i="11"/>
  <c r="AK26" i="11"/>
  <c r="D27" i="11"/>
  <c r="V26" i="11"/>
  <c r="BG13" i="10"/>
  <c r="AL25" i="10"/>
  <c r="AM25" i="10" s="1"/>
  <c r="D27" i="10"/>
  <c r="AK26" i="10"/>
  <c r="V26" i="10"/>
  <c r="W14" i="10"/>
  <c r="I15" i="10" s="1"/>
  <c r="H13" i="10"/>
  <c r="AM24" i="9"/>
  <c r="V26" i="9"/>
  <c r="D27" i="9"/>
  <c r="AK26" i="9"/>
  <c r="AL25" i="9"/>
  <c r="AP8" i="9"/>
  <c r="AT8" i="9" s="1"/>
  <c r="Z15" i="9"/>
  <c r="Y15" i="9"/>
  <c r="J15" i="9"/>
  <c r="AE14" i="9"/>
  <c r="BA7" i="1"/>
  <c r="AY7" i="1"/>
  <c r="BC7" i="1" s="1"/>
  <c r="J11" i="1"/>
  <c r="H10" i="1" s="1"/>
  <c r="Y11" i="1"/>
  <c r="AL22" i="1"/>
  <c r="AM22" i="1" s="1"/>
  <c r="D24" i="1"/>
  <c r="V24" i="1" s="1"/>
  <c r="Z11" i="1"/>
  <c r="AL23" i="1"/>
  <c r="AM23" i="1" s="1"/>
  <c r="M8" i="10" l="1"/>
  <c r="AA15" i="9"/>
  <c r="AC15" i="9"/>
  <c r="G14" i="12"/>
  <c r="AD15" i="9"/>
  <c r="AD14" i="10"/>
  <c r="BF14" i="10" s="1"/>
  <c r="G14" i="10"/>
  <c r="AY8" i="10"/>
  <c r="BC8" i="10" s="1"/>
  <c r="AG9" i="10" s="1"/>
  <c r="G15" i="11"/>
  <c r="AK24" i="1"/>
  <c r="AK25" i="1" s="1"/>
  <c r="AQ8" i="9"/>
  <c r="AU8" i="9" s="1"/>
  <c r="AX8" i="9" s="1"/>
  <c r="BB8" i="9" s="1"/>
  <c r="BJ8" i="9" s="1"/>
  <c r="S10" i="10"/>
  <c r="O9" i="9"/>
  <c r="Q9" i="9" s="1"/>
  <c r="T9" i="9"/>
  <c r="AW8" i="11"/>
  <c r="BA8" i="11" s="1"/>
  <c r="BI8" i="11" s="1"/>
  <c r="BI8" i="12"/>
  <c r="AK27" i="12"/>
  <c r="D28" i="12"/>
  <c r="V27" i="12"/>
  <c r="AE14" i="12"/>
  <c r="AX8" i="12"/>
  <c r="BB8" i="12" s="1"/>
  <c r="BJ8" i="12" s="1"/>
  <c r="AM25" i="12"/>
  <c r="BF14" i="12"/>
  <c r="AL26" i="12"/>
  <c r="Z15" i="12"/>
  <c r="Y15" i="12"/>
  <c r="J15" i="12"/>
  <c r="AI9" i="10"/>
  <c r="D28" i="11"/>
  <c r="AK27" i="11"/>
  <c r="V27" i="11"/>
  <c r="Z16" i="11"/>
  <c r="Y16" i="11"/>
  <c r="J16" i="11"/>
  <c r="BF15" i="11"/>
  <c r="AH9" i="10"/>
  <c r="AE15" i="11"/>
  <c r="AL26" i="11"/>
  <c r="AO9" i="10"/>
  <c r="AL26" i="10"/>
  <c r="AK27" i="10"/>
  <c r="D28" i="10"/>
  <c r="V27" i="10"/>
  <c r="Y15" i="10"/>
  <c r="Z15" i="10"/>
  <c r="J15" i="10"/>
  <c r="BE14" i="10"/>
  <c r="BK8" i="10"/>
  <c r="BM8" i="10" s="1"/>
  <c r="BN8" i="10" s="1"/>
  <c r="BE15" i="9"/>
  <c r="BF15" i="9"/>
  <c r="AW8" i="9"/>
  <c r="BA8" i="9" s="1"/>
  <c r="AM25" i="9"/>
  <c r="BG14" i="9"/>
  <c r="AL26" i="9"/>
  <c r="W15" i="9"/>
  <c r="I16" i="9" s="1"/>
  <c r="H14" i="9"/>
  <c r="D28" i="9"/>
  <c r="V27" i="9"/>
  <c r="AK27" i="9"/>
  <c r="BK7" i="1"/>
  <c r="AI8" i="1"/>
  <c r="AG8" i="1"/>
  <c r="AH8" i="1"/>
  <c r="S7" i="1"/>
  <c r="BI7" i="1"/>
  <c r="D25" i="1"/>
  <c r="V25" i="1" s="1"/>
  <c r="AA11" i="1"/>
  <c r="AD11" i="1" s="1"/>
  <c r="W11" i="1"/>
  <c r="AA15" i="12" l="1"/>
  <c r="AC15" i="12"/>
  <c r="AC11" i="1"/>
  <c r="AE11" i="1" s="1"/>
  <c r="AA16" i="11"/>
  <c r="AC16" i="11"/>
  <c r="AD16" i="11"/>
  <c r="G15" i="9"/>
  <c r="AD15" i="12"/>
  <c r="AE14" i="10"/>
  <c r="AA15" i="10"/>
  <c r="AC15" i="10" s="1"/>
  <c r="BE15" i="10" s="1"/>
  <c r="AD15" i="10"/>
  <c r="M8" i="9"/>
  <c r="AY8" i="11"/>
  <c r="BC8" i="11" s="1"/>
  <c r="AG9" i="11" s="1"/>
  <c r="AM26" i="12"/>
  <c r="BG14" i="12"/>
  <c r="W15" i="12"/>
  <c r="I16" i="12" s="1"/>
  <c r="H14" i="12"/>
  <c r="BE15" i="12"/>
  <c r="AY8" i="12"/>
  <c r="BC8" i="12" s="1"/>
  <c r="S10" i="12" s="1"/>
  <c r="AL27" i="12"/>
  <c r="AM27" i="12" s="1"/>
  <c r="BF15" i="12"/>
  <c r="V28" i="12"/>
  <c r="AK28" i="12"/>
  <c r="D29" i="12"/>
  <c r="AL27" i="11"/>
  <c r="V28" i="11"/>
  <c r="D29" i="11"/>
  <c r="AK28" i="11"/>
  <c r="W16" i="11"/>
  <c r="I17" i="11" s="1"/>
  <c r="H15" i="11"/>
  <c r="AM26" i="11"/>
  <c r="BG15" i="11"/>
  <c r="BE16" i="11"/>
  <c r="AI9" i="11"/>
  <c r="BO8" i="10"/>
  <c r="N10" i="10"/>
  <c r="W15" i="10"/>
  <c r="I16" i="10" s="1"/>
  <c r="H14" i="10"/>
  <c r="AM26" i="10"/>
  <c r="BF15" i="10"/>
  <c r="AP9" i="10"/>
  <c r="AT9" i="10" s="1"/>
  <c r="V28" i="10"/>
  <c r="AK28" i="10"/>
  <c r="D29" i="10"/>
  <c r="AL27" i="10"/>
  <c r="BG14" i="10"/>
  <c r="AS9" i="10"/>
  <c r="Z16" i="9"/>
  <c r="Y16" i="9"/>
  <c r="J16" i="9"/>
  <c r="BI8" i="9"/>
  <c r="AE15" i="9"/>
  <c r="V28" i="9"/>
  <c r="AK28" i="9"/>
  <c r="D29" i="9"/>
  <c r="AM26" i="9"/>
  <c r="AL27" i="9"/>
  <c r="AY8" i="9"/>
  <c r="BC8" i="9" s="1"/>
  <c r="S10" i="9" s="1"/>
  <c r="BM7" i="1"/>
  <c r="BO7" i="1" s="1"/>
  <c r="AL24" i="1"/>
  <c r="AM24" i="1" s="1"/>
  <c r="N7" i="1"/>
  <c r="T7" i="1"/>
  <c r="D26" i="1"/>
  <c r="V26" i="1" s="1"/>
  <c r="I12" i="1"/>
  <c r="AL25" i="1"/>
  <c r="AM25" i="1" s="1"/>
  <c r="BK8" i="11" l="1"/>
  <c r="BM8" i="11" s="1"/>
  <c r="BN8" i="11" s="1"/>
  <c r="AH9" i="11"/>
  <c r="AK26" i="1"/>
  <c r="G15" i="10"/>
  <c r="G15" i="12"/>
  <c r="AA16" i="9"/>
  <c r="AC16" i="9" s="1"/>
  <c r="S10" i="11"/>
  <c r="Y12" i="1"/>
  <c r="G11" i="1"/>
  <c r="G16" i="11"/>
  <c r="L9" i="10"/>
  <c r="L6" i="1"/>
  <c r="BN7" i="1"/>
  <c r="V29" i="12"/>
  <c r="AK29" i="12"/>
  <c r="D30" i="12"/>
  <c r="AL28" i="12"/>
  <c r="Z16" i="12"/>
  <c r="Y16" i="12"/>
  <c r="J16" i="12"/>
  <c r="BK8" i="12"/>
  <c r="BM8" i="12" s="1"/>
  <c r="BN8" i="12" s="1"/>
  <c r="AI9" i="12"/>
  <c r="AH9" i="12"/>
  <c r="AG9" i="12"/>
  <c r="AE15" i="12"/>
  <c r="N10" i="11"/>
  <c r="BO8" i="11"/>
  <c r="AO9" i="11"/>
  <c r="AE16" i="11"/>
  <c r="Z17" i="11"/>
  <c r="Y17" i="11"/>
  <c r="AA17" i="11" s="1"/>
  <c r="J17" i="11"/>
  <c r="AL28" i="11"/>
  <c r="AM28" i="11" s="1"/>
  <c r="V29" i="11"/>
  <c r="D30" i="11"/>
  <c r="AK29" i="11"/>
  <c r="BF16" i="11"/>
  <c r="AM27" i="11"/>
  <c r="AQ9" i="10"/>
  <c r="AU9" i="10" s="1"/>
  <c r="AW9" i="10" s="1"/>
  <c r="BA9" i="10" s="1"/>
  <c r="AE15" i="10"/>
  <c r="Y16" i="10"/>
  <c r="Z16" i="10"/>
  <c r="J16" i="10"/>
  <c r="AM27" i="10"/>
  <c r="O10" i="10"/>
  <c r="T10" i="10"/>
  <c r="V29" i="10"/>
  <c r="D30" i="10"/>
  <c r="AK29" i="10"/>
  <c r="AL28" i="10"/>
  <c r="AM28" i="10" s="1"/>
  <c r="AL28" i="9"/>
  <c r="AM28" i="9" s="1"/>
  <c r="BG15" i="9"/>
  <c r="W16" i="9"/>
  <c r="I17" i="9" s="1"/>
  <c r="H15" i="9"/>
  <c r="V29" i="9"/>
  <c r="AK29" i="9"/>
  <c r="D30" i="9"/>
  <c r="BK8" i="9"/>
  <c r="BM8" i="9" s="1"/>
  <c r="BN8" i="9" s="1"/>
  <c r="AI9" i="9"/>
  <c r="AH9" i="9"/>
  <c r="AG9" i="9"/>
  <c r="AM27" i="9"/>
  <c r="O7" i="1"/>
  <c r="D27" i="1"/>
  <c r="V27" i="1" s="1"/>
  <c r="J12" i="1"/>
  <c r="Z12" i="1"/>
  <c r="AL26" i="1"/>
  <c r="AM26" i="1" s="1"/>
  <c r="AD16" i="9" l="1"/>
  <c r="G16" i="9"/>
  <c r="AD17" i="11"/>
  <c r="AC17" i="11"/>
  <c r="AK27" i="1"/>
  <c r="AK28" i="1" s="1"/>
  <c r="T10" i="11"/>
  <c r="L9" i="11"/>
  <c r="BG15" i="12"/>
  <c r="N10" i="12"/>
  <c r="BO8" i="12"/>
  <c r="AM28" i="12"/>
  <c r="W16" i="12"/>
  <c r="I17" i="12" s="1"/>
  <c r="H15" i="12"/>
  <c r="V30" i="12"/>
  <c r="AK30" i="12"/>
  <c r="D31" i="12"/>
  <c r="AL29" i="12"/>
  <c r="AO9" i="12"/>
  <c r="AS9" i="12" s="1"/>
  <c r="AA16" i="12"/>
  <c r="AD16" i="12" s="1"/>
  <c r="BF16" i="12" s="1"/>
  <c r="BG16" i="11"/>
  <c r="W17" i="11"/>
  <c r="I18" i="11" s="1"/>
  <c r="H16" i="11"/>
  <c r="AP9" i="11"/>
  <c r="AT9" i="11" s="1"/>
  <c r="AL29" i="11"/>
  <c r="AS9" i="11"/>
  <c r="V30" i="11"/>
  <c r="AK30" i="11"/>
  <c r="D31" i="11"/>
  <c r="AX9" i="10"/>
  <c r="BB9" i="10" s="1"/>
  <c r="BJ9" i="10" s="1"/>
  <c r="BF17" i="11"/>
  <c r="O10" i="11"/>
  <c r="BI9" i="10"/>
  <c r="W16" i="10"/>
  <c r="I17" i="10" s="1"/>
  <c r="H15" i="10"/>
  <c r="V30" i="10"/>
  <c r="AK30" i="10"/>
  <c r="D31" i="10"/>
  <c r="Q10" i="10"/>
  <c r="M9" i="10"/>
  <c r="BG15" i="10"/>
  <c r="AL29" i="10"/>
  <c r="AM29" i="10" s="1"/>
  <c r="AA16" i="10"/>
  <c r="AC16" i="10" s="1"/>
  <c r="N10" i="9"/>
  <c r="BO8" i="9"/>
  <c r="AE16" i="9"/>
  <c r="AL29" i="9"/>
  <c r="BF16" i="9"/>
  <c r="Z17" i="9"/>
  <c r="Y17" i="9"/>
  <c r="J17" i="9"/>
  <c r="V30" i="9"/>
  <c r="AK30" i="9"/>
  <c r="D31" i="9"/>
  <c r="AO9" i="9"/>
  <c r="AS9" i="9" s="1"/>
  <c r="BE16" i="9"/>
  <c r="M6" i="1"/>
  <c r="Q7" i="1"/>
  <c r="D28" i="1"/>
  <c r="V28" i="1" s="1"/>
  <c r="H11" i="1"/>
  <c r="W12" i="1"/>
  <c r="AA12" i="1"/>
  <c r="AD12" i="1" s="1"/>
  <c r="G17" i="11" l="1"/>
  <c r="AC16" i="12"/>
  <c r="BE16" i="12" s="1"/>
  <c r="AA17" i="9"/>
  <c r="AC17" i="9"/>
  <c r="G16" i="12"/>
  <c r="AD16" i="10"/>
  <c r="BF16" i="10" s="1"/>
  <c r="AC12" i="1"/>
  <c r="AE12" i="1" s="1"/>
  <c r="G16" i="10"/>
  <c r="AD17" i="9"/>
  <c r="AL27" i="1"/>
  <c r="AM27" i="1" s="1"/>
  <c r="L9" i="9"/>
  <c r="L9" i="12"/>
  <c r="O10" i="12"/>
  <c r="T10" i="12"/>
  <c r="AM29" i="12"/>
  <c r="Z17" i="12"/>
  <c r="Y17" i="12"/>
  <c r="J17" i="12"/>
  <c r="AE16" i="12"/>
  <c r="AL30" i="12"/>
  <c r="AM30" i="12" s="1"/>
  <c r="AP9" i="12"/>
  <c r="AT9" i="12" s="1"/>
  <c r="V31" i="12"/>
  <c r="D32" i="12"/>
  <c r="AK31" i="12"/>
  <c r="AQ9" i="11"/>
  <c r="AU9" i="11" s="1"/>
  <c r="AW9" i="11" s="1"/>
  <c r="BA9" i="11" s="1"/>
  <c r="V31" i="11"/>
  <c r="AK31" i="11"/>
  <c r="D32" i="11"/>
  <c r="AL30" i="11"/>
  <c r="Z18" i="11"/>
  <c r="Y18" i="11"/>
  <c r="J18" i="11"/>
  <c r="Q10" i="11"/>
  <c r="M9" i="11"/>
  <c r="AE17" i="11"/>
  <c r="BE17" i="11"/>
  <c r="AM29" i="11"/>
  <c r="AY9" i="10"/>
  <c r="BC9" i="10" s="1"/>
  <c r="AG10" i="10" s="1"/>
  <c r="AO10" i="10" s="1"/>
  <c r="Y17" i="10"/>
  <c r="Z17" i="10"/>
  <c r="J17" i="10"/>
  <c r="V31" i="10"/>
  <c r="AK31" i="10"/>
  <c r="D32" i="10"/>
  <c r="AL30" i="10"/>
  <c r="AM30" i="10" s="1"/>
  <c r="BE16" i="10"/>
  <c r="W17" i="9"/>
  <c r="I18" i="9" s="1"/>
  <c r="H16" i="9"/>
  <c r="BG16" i="9"/>
  <c r="BE17" i="9"/>
  <c r="V31" i="9"/>
  <c r="AK31" i="9"/>
  <c r="D32" i="9"/>
  <c r="BF17" i="9"/>
  <c r="AM29" i="9"/>
  <c r="AP9" i="9"/>
  <c r="AT9" i="9" s="1"/>
  <c r="AL30" i="9"/>
  <c r="O10" i="9"/>
  <c r="T10" i="9"/>
  <c r="BF8" i="1"/>
  <c r="BE8" i="1"/>
  <c r="AO8" i="1"/>
  <c r="D29" i="1"/>
  <c r="V29" i="1" s="1"/>
  <c r="I13" i="1"/>
  <c r="G17" i="9" l="1"/>
  <c r="AD17" i="12"/>
  <c r="AK29" i="1"/>
  <c r="Y13" i="1"/>
  <c r="G12" i="1"/>
  <c r="AE16" i="10"/>
  <c r="BG16" i="10" s="1"/>
  <c r="AX9" i="11"/>
  <c r="BB9" i="11" s="1"/>
  <c r="BJ9" i="11" s="1"/>
  <c r="AQ9" i="12"/>
  <c r="AU9" i="12" s="1"/>
  <c r="AX9" i="12" s="1"/>
  <c r="BB9" i="12" s="1"/>
  <c r="BJ9" i="12" s="1"/>
  <c r="Q10" i="12"/>
  <c r="M9" i="12"/>
  <c r="W17" i="12"/>
  <c r="I18" i="12" s="1"/>
  <c r="H16" i="12"/>
  <c r="AL31" i="12"/>
  <c r="BF17" i="12"/>
  <c r="V32" i="12"/>
  <c r="D33" i="12"/>
  <c r="AK32" i="12"/>
  <c r="BG16" i="12"/>
  <c r="AA17" i="12"/>
  <c r="AC17" i="12" s="1"/>
  <c r="BE17" i="12" s="1"/>
  <c r="BG17" i="11"/>
  <c r="AY9" i="11"/>
  <c r="BC9" i="11" s="1"/>
  <c r="S11" i="11" s="1"/>
  <c r="AM30" i="11"/>
  <c r="V32" i="11"/>
  <c r="AK32" i="11"/>
  <c r="D33" i="11"/>
  <c r="AL31" i="11"/>
  <c r="BK9" i="10"/>
  <c r="BM9" i="10" s="1"/>
  <c r="BN9" i="10" s="1"/>
  <c r="AH10" i="10"/>
  <c r="AP10" i="10" s="1"/>
  <c r="AI10" i="10"/>
  <c r="W18" i="11"/>
  <c r="I19" i="11" s="1"/>
  <c r="H17" i="11"/>
  <c r="S11" i="10"/>
  <c r="AA18" i="11"/>
  <c r="AC18" i="11" s="1"/>
  <c r="BI9" i="11"/>
  <c r="AQ9" i="9"/>
  <c r="AU9" i="9" s="1"/>
  <c r="AW9" i="9" s="1"/>
  <c r="BA9" i="9" s="1"/>
  <c r="V32" i="10"/>
  <c r="AK32" i="10"/>
  <c r="D33" i="10"/>
  <c r="AL31" i="10"/>
  <c r="W17" i="10"/>
  <c r="I18" i="10" s="1"/>
  <c r="H16" i="10"/>
  <c r="AA17" i="10"/>
  <c r="AC17" i="10" s="1"/>
  <c r="BE17" i="10" s="1"/>
  <c r="AS10" i="10"/>
  <c r="AM30" i="9"/>
  <c r="Z18" i="9"/>
  <c r="Y18" i="9"/>
  <c r="J18" i="9"/>
  <c r="V32" i="9"/>
  <c r="AK32" i="9"/>
  <c r="D33" i="9"/>
  <c r="AL31" i="9"/>
  <c r="AM31" i="9" s="1"/>
  <c r="Q10" i="9"/>
  <c r="M9" i="9"/>
  <c r="AE17" i="9"/>
  <c r="BG8" i="1"/>
  <c r="AS8" i="1"/>
  <c r="AP8" i="1"/>
  <c r="AT8" i="1" s="1"/>
  <c r="AL28" i="1"/>
  <c r="AM28" i="1" s="1"/>
  <c r="D30" i="1"/>
  <c r="V30" i="1" s="1"/>
  <c r="Z13" i="1"/>
  <c r="J13" i="1"/>
  <c r="AL29" i="1"/>
  <c r="AM29" i="1" s="1"/>
  <c r="AK30" i="1" l="1"/>
  <c r="AD18" i="11"/>
  <c r="BF18" i="11" s="1"/>
  <c r="AD17" i="10"/>
  <c r="G18" i="11"/>
  <c r="AD13" i="1"/>
  <c r="G17" i="12"/>
  <c r="AA18" i="9"/>
  <c r="AC18" i="9" s="1"/>
  <c r="BE18" i="9" s="1"/>
  <c r="AD18" i="9"/>
  <c r="BF18" i="9" s="1"/>
  <c r="G17" i="10"/>
  <c r="Z18" i="12"/>
  <c r="Y18" i="12"/>
  <c r="J18" i="12"/>
  <c r="AL32" i="12"/>
  <c r="AE17" i="12"/>
  <c r="BG17" i="12" s="1"/>
  <c r="V33" i="12"/>
  <c r="D34" i="12"/>
  <c r="AK33" i="12"/>
  <c r="AG10" i="11"/>
  <c r="AO10" i="11" s="1"/>
  <c r="AW9" i="12"/>
  <c r="BA9" i="12" s="1"/>
  <c r="AX9" i="9"/>
  <c r="BB9" i="9" s="1"/>
  <c r="BJ9" i="9" s="1"/>
  <c r="AY9" i="12"/>
  <c r="BC9" i="12" s="1"/>
  <c r="AM31" i="12"/>
  <c r="AT10" i="10"/>
  <c r="AQ10" i="10"/>
  <c r="AU10" i="10" s="1"/>
  <c r="BO9" i="10"/>
  <c r="N11" i="10"/>
  <c r="AM31" i="11"/>
  <c r="BK9" i="11"/>
  <c r="BM9" i="11" s="1"/>
  <c r="BN9" i="11" s="1"/>
  <c r="AH10" i="11"/>
  <c r="AI10" i="11"/>
  <c r="AE18" i="11"/>
  <c r="BG18" i="11" s="1"/>
  <c r="V33" i="11"/>
  <c r="AK33" i="11"/>
  <c r="D34" i="11"/>
  <c r="Z19" i="11"/>
  <c r="Y19" i="11"/>
  <c r="J19" i="11"/>
  <c r="AL32" i="11"/>
  <c r="BE18" i="11"/>
  <c r="V33" i="10"/>
  <c r="D34" i="10"/>
  <c r="AK33" i="10"/>
  <c r="AM31" i="10"/>
  <c r="Y18" i="10"/>
  <c r="Z18" i="10"/>
  <c r="J18" i="10"/>
  <c r="AL32" i="10"/>
  <c r="AM32" i="10" s="1"/>
  <c r="BF17" i="10"/>
  <c r="AE17" i="10"/>
  <c r="BG17" i="10" s="1"/>
  <c r="V33" i="9"/>
  <c r="D34" i="9"/>
  <c r="AK33" i="9"/>
  <c r="BG17" i="9"/>
  <c r="AL32" i="9"/>
  <c r="W18" i="9"/>
  <c r="I19" i="9" s="1"/>
  <c r="H17" i="9"/>
  <c r="BI9" i="9"/>
  <c r="AY9" i="9"/>
  <c r="BC9" i="9" s="1"/>
  <c r="AQ8" i="1"/>
  <c r="AU8" i="1" s="1"/>
  <c r="AW8" i="1" s="1"/>
  <c r="BA8" i="1" s="1"/>
  <c r="D31" i="1"/>
  <c r="V31" i="1" s="1"/>
  <c r="H12" i="1"/>
  <c r="W13" i="1"/>
  <c r="AA13" i="1"/>
  <c r="AC13" i="1" s="1"/>
  <c r="AE13" i="1" s="1"/>
  <c r="AL30" i="1"/>
  <c r="AM30" i="1" s="1"/>
  <c r="G18" i="9" l="1"/>
  <c r="AC18" i="10"/>
  <c r="AD19" i="11"/>
  <c r="AC18" i="12"/>
  <c r="BE18" i="12" s="1"/>
  <c r="AK31" i="1"/>
  <c r="L10" i="10"/>
  <c r="AX10" i="10"/>
  <c r="BB10" i="10" s="1"/>
  <c r="BJ10" i="10" s="1"/>
  <c r="AA18" i="10"/>
  <c r="AD18" i="10" s="1"/>
  <c r="BF18" i="10" s="1"/>
  <c r="AW10" i="10"/>
  <c r="BA10" i="10" s="1"/>
  <c r="BI10" i="10" s="1"/>
  <c r="BI9" i="12"/>
  <c r="S11" i="12"/>
  <c r="AM32" i="12"/>
  <c r="BK9" i="12"/>
  <c r="AI10" i="12"/>
  <c r="AH10" i="12"/>
  <c r="AG10" i="12"/>
  <c r="AL33" i="12"/>
  <c r="W18" i="12"/>
  <c r="I19" i="12" s="1"/>
  <c r="H17" i="12"/>
  <c r="V34" i="12"/>
  <c r="D35" i="12"/>
  <c r="AK34" i="12"/>
  <c r="AA18" i="12"/>
  <c r="AD18" i="12" s="1"/>
  <c r="BF18" i="12" s="1"/>
  <c r="N11" i="11"/>
  <c r="BO9" i="11"/>
  <c r="AP10" i="11"/>
  <c r="AQ10" i="11" s="1"/>
  <c r="AU10" i="11" s="1"/>
  <c r="AS10" i="11"/>
  <c r="V34" i="11"/>
  <c r="AK34" i="11"/>
  <c r="D35" i="11"/>
  <c r="AM32" i="11"/>
  <c r="AL33" i="11"/>
  <c r="T11" i="10"/>
  <c r="O11" i="10"/>
  <c r="W19" i="11"/>
  <c r="I20" i="11" s="1"/>
  <c r="H18" i="11"/>
  <c r="AA19" i="11"/>
  <c r="AC19" i="11" s="1"/>
  <c r="AL33" i="10"/>
  <c r="AM33" i="10" s="1"/>
  <c r="V34" i="10"/>
  <c r="AK34" i="10"/>
  <c r="D35" i="10"/>
  <c r="W18" i="10"/>
  <c r="I19" i="10" s="1"/>
  <c r="H17" i="10"/>
  <c r="AE18" i="9"/>
  <c r="AM32" i="9"/>
  <c r="BK9" i="9"/>
  <c r="BM9" i="9" s="1"/>
  <c r="BN9" i="9" s="1"/>
  <c r="AH10" i="9"/>
  <c r="AG10" i="9"/>
  <c r="AI10" i="9"/>
  <c r="S11" i="9"/>
  <c r="AL33" i="9"/>
  <c r="AM33" i="9" s="1"/>
  <c r="V34" i="9"/>
  <c r="AK34" i="9"/>
  <c r="D35" i="9"/>
  <c r="Z19" i="9"/>
  <c r="Y19" i="9"/>
  <c r="J19" i="9"/>
  <c r="AX8" i="1"/>
  <c r="BB8" i="1" s="1"/>
  <c r="BJ8" i="1" s="1"/>
  <c r="BI8" i="1"/>
  <c r="S8" i="1"/>
  <c r="D32" i="1"/>
  <c r="V32" i="1" s="1"/>
  <c r="I14" i="1"/>
  <c r="AL31" i="1"/>
  <c r="AM31" i="1" s="1"/>
  <c r="G18" i="12" l="1"/>
  <c r="Y14" i="1"/>
  <c r="G13" i="1"/>
  <c r="G18" i="10"/>
  <c r="G19" i="11"/>
  <c r="AK32" i="1"/>
  <c r="AT10" i="11"/>
  <c r="AX10" i="11" s="1"/>
  <c r="BB10" i="11" s="1"/>
  <c r="BJ10" i="11" s="1"/>
  <c r="AY10" i="10"/>
  <c r="BC10" i="10" s="1"/>
  <c r="BK10" i="10" s="1"/>
  <c r="BM10" i="10" s="1"/>
  <c r="L10" i="11"/>
  <c r="AI11" i="10"/>
  <c r="V35" i="12"/>
  <c r="D36" i="12"/>
  <c r="AK35" i="12"/>
  <c r="AL34" i="12"/>
  <c r="Z19" i="12"/>
  <c r="Y19" i="12"/>
  <c r="J19" i="12"/>
  <c r="AO10" i="12"/>
  <c r="AE18" i="12"/>
  <c r="AM33" i="12"/>
  <c r="BM9" i="12"/>
  <c r="BN9" i="12" s="1"/>
  <c r="M10" i="10"/>
  <c r="Q11" i="10"/>
  <c r="BF19" i="11"/>
  <c r="AE19" i="11"/>
  <c r="BG19" i="11" s="1"/>
  <c r="AM33" i="11"/>
  <c r="BE19" i="11"/>
  <c r="Z20" i="11"/>
  <c r="Y20" i="11"/>
  <c r="J20" i="11"/>
  <c r="V35" i="11"/>
  <c r="D36" i="11"/>
  <c r="AK35" i="11"/>
  <c r="AL34" i="11"/>
  <c r="AM34" i="11" s="1"/>
  <c r="O11" i="11"/>
  <c r="T11" i="11"/>
  <c r="Y19" i="10"/>
  <c r="Z19" i="10"/>
  <c r="J19" i="10"/>
  <c r="AL34" i="10"/>
  <c r="AM34" i="10" s="1"/>
  <c r="AE18" i="10"/>
  <c r="V35" i="10"/>
  <c r="D36" i="10"/>
  <c r="AK35" i="10"/>
  <c r="BE18" i="10"/>
  <c r="BG18" i="9"/>
  <c r="V35" i="9"/>
  <c r="D36" i="9"/>
  <c r="AK35" i="9"/>
  <c r="BO9" i="9"/>
  <c r="N11" i="9"/>
  <c r="AO10" i="9"/>
  <c r="AS10" i="9" s="1"/>
  <c r="W19" i="9"/>
  <c r="I20" i="9" s="1"/>
  <c r="H18" i="9"/>
  <c r="AL34" i="9"/>
  <c r="AM34" i="9" s="1"/>
  <c r="AA19" i="9"/>
  <c r="AC19" i="9" s="1"/>
  <c r="BE19" i="9" s="1"/>
  <c r="AY8" i="1"/>
  <c r="BC8" i="1" s="1"/>
  <c r="N8" i="1"/>
  <c r="D33" i="1"/>
  <c r="V33" i="1" s="1"/>
  <c r="Z14" i="1"/>
  <c r="J14" i="1"/>
  <c r="AL32" i="1"/>
  <c r="AM32" i="1" s="1"/>
  <c r="G19" i="9" l="1"/>
  <c r="AK33" i="1"/>
  <c r="AD19" i="9"/>
  <c r="BF19" i="9" s="1"/>
  <c r="AD19" i="10"/>
  <c r="BF19" i="10" s="1"/>
  <c r="AW10" i="11"/>
  <c r="BA10" i="11" s="1"/>
  <c r="BI10" i="11" s="1"/>
  <c r="S12" i="10"/>
  <c r="AA19" i="12"/>
  <c r="AC19" i="12" s="1"/>
  <c r="AH11" i="10"/>
  <c r="AD20" i="11"/>
  <c r="AC20" i="11"/>
  <c r="AG11" i="10"/>
  <c r="AO11" i="10" s="1"/>
  <c r="AP11" i="10" s="1"/>
  <c r="AT11" i="10" s="1"/>
  <c r="T11" i="9"/>
  <c r="L10" i="9"/>
  <c r="L7" i="1"/>
  <c r="BG18" i="12"/>
  <c r="W19" i="12"/>
  <c r="I20" i="12" s="1"/>
  <c r="H18" i="12"/>
  <c r="AP10" i="12"/>
  <c r="AT10" i="12" s="1"/>
  <c r="AM34" i="12"/>
  <c r="AS10" i="12"/>
  <c r="AL35" i="12"/>
  <c r="AM35" i="12" s="1"/>
  <c r="V36" i="12"/>
  <c r="D37" i="12"/>
  <c r="AK36" i="12"/>
  <c r="N11" i="12"/>
  <c r="BO9" i="12"/>
  <c r="AL35" i="11"/>
  <c r="V36" i="11"/>
  <c r="D37" i="11"/>
  <c r="AK36" i="11"/>
  <c r="W20" i="11"/>
  <c r="I21" i="11" s="1"/>
  <c r="H19" i="11"/>
  <c r="AA19" i="10"/>
  <c r="AC19" i="10" s="1"/>
  <c r="AA20" i="11"/>
  <c r="Q11" i="11"/>
  <c r="M10" i="11"/>
  <c r="AL35" i="10"/>
  <c r="BO10" i="10"/>
  <c r="N12" i="10"/>
  <c r="BN10" i="10"/>
  <c r="V36" i="10"/>
  <c r="D37" i="10"/>
  <c r="AK36" i="10"/>
  <c r="BG18" i="10"/>
  <c r="W19" i="10"/>
  <c r="I20" i="10" s="1"/>
  <c r="H18" i="10"/>
  <c r="AS11" i="10"/>
  <c r="AL35" i="9"/>
  <c r="V36" i="9"/>
  <c r="AK36" i="9"/>
  <c r="D37" i="9"/>
  <c r="AP10" i="9"/>
  <c r="AT10" i="9" s="1"/>
  <c r="AE19" i="9"/>
  <c r="BG19" i="9" s="1"/>
  <c r="Z20" i="9"/>
  <c r="Y20" i="9"/>
  <c r="J20" i="9"/>
  <c r="O11" i="9"/>
  <c r="BK8" i="1"/>
  <c r="BM8" i="1" s="1"/>
  <c r="BO8" i="1" s="1"/>
  <c r="AI9" i="1"/>
  <c r="AH9" i="1"/>
  <c r="AG9" i="1"/>
  <c r="T8" i="1"/>
  <c r="O8" i="1"/>
  <c r="D34" i="1"/>
  <c r="V34" i="1" s="1"/>
  <c r="H13" i="1"/>
  <c r="AA14" i="1"/>
  <c r="AC14" i="1" s="1"/>
  <c r="W14" i="1"/>
  <c r="AL33" i="1"/>
  <c r="AM33" i="1" s="1"/>
  <c r="AY10" i="11" l="1"/>
  <c r="BC10" i="11" s="1"/>
  <c r="S12" i="11" s="1"/>
  <c r="AD14" i="1"/>
  <c r="AE14" i="1" s="1"/>
  <c r="G19" i="12"/>
  <c r="AC20" i="9"/>
  <c r="AD20" i="9"/>
  <c r="BF20" i="9" s="1"/>
  <c r="AD19" i="12"/>
  <c r="BF19" i="12" s="1"/>
  <c r="AK34" i="1"/>
  <c r="G20" i="11"/>
  <c r="G19" i="10"/>
  <c r="L11" i="10"/>
  <c r="L10" i="12"/>
  <c r="AQ10" i="9"/>
  <c r="AU10" i="9" s="1"/>
  <c r="AW10" i="9" s="1"/>
  <c r="BA10" i="9" s="1"/>
  <c r="AA20" i="9"/>
  <c r="O11" i="12"/>
  <c r="T11" i="12"/>
  <c r="AL36" i="12"/>
  <c r="BE19" i="12"/>
  <c r="V37" i="12"/>
  <c r="D38" i="12"/>
  <c r="AK37" i="12"/>
  <c r="AW10" i="12"/>
  <c r="BA10" i="12" s="1"/>
  <c r="Z20" i="12"/>
  <c r="Y20" i="12"/>
  <c r="J20" i="12"/>
  <c r="AQ10" i="12"/>
  <c r="AU10" i="12" s="1"/>
  <c r="AX10" i="12" s="1"/>
  <c r="BB10" i="12" s="1"/>
  <c r="BJ10" i="12" s="1"/>
  <c r="AL36" i="11"/>
  <c r="AQ11" i="10"/>
  <c r="AU11" i="10" s="1"/>
  <c r="AX11" i="10" s="1"/>
  <c r="BB11" i="10" s="1"/>
  <c r="BJ11" i="10" s="1"/>
  <c r="V37" i="11"/>
  <c r="D38" i="11"/>
  <c r="AK37" i="11"/>
  <c r="Y21" i="11"/>
  <c r="Z21" i="11"/>
  <c r="J21" i="11"/>
  <c r="BF20" i="11"/>
  <c r="AE20" i="11"/>
  <c r="BE20" i="11"/>
  <c r="BK10" i="11"/>
  <c r="BM10" i="11" s="1"/>
  <c r="AI11" i="11"/>
  <c r="AM35" i="11"/>
  <c r="AE19" i="10"/>
  <c r="AL36" i="10"/>
  <c r="BE19" i="10"/>
  <c r="Y20" i="10"/>
  <c r="Z20" i="10"/>
  <c r="J20" i="10"/>
  <c r="V37" i="10"/>
  <c r="D38" i="10"/>
  <c r="AK37" i="10"/>
  <c r="AM35" i="10"/>
  <c r="O12" i="10"/>
  <c r="T12" i="10"/>
  <c r="V37" i="9"/>
  <c r="AK37" i="9"/>
  <c r="D38" i="9"/>
  <c r="AL36" i="9"/>
  <c r="AM36" i="9" s="1"/>
  <c r="Q11" i="9"/>
  <c r="M10" i="9"/>
  <c r="W20" i="9"/>
  <c r="I21" i="9" s="1"/>
  <c r="H19" i="9"/>
  <c r="AM35" i="9"/>
  <c r="BN8" i="1"/>
  <c r="M7" i="1"/>
  <c r="Q8" i="1"/>
  <c r="D35" i="1"/>
  <c r="V35" i="1" s="1"/>
  <c r="I15" i="1"/>
  <c r="AX10" i="9" l="1"/>
  <c r="BB10" i="9" s="1"/>
  <c r="BJ10" i="9" s="1"/>
  <c r="AG11" i="11"/>
  <c r="AA20" i="12"/>
  <c r="AD20" i="12" s="1"/>
  <c r="BF20" i="12" s="1"/>
  <c r="AC20" i="12"/>
  <c r="AE19" i="12"/>
  <c r="BG19" i="12" s="1"/>
  <c r="AH11" i="11"/>
  <c r="Y15" i="1"/>
  <c r="G14" i="1"/>
  <c r="G20" i="9"/>
  <c r="AK35" i="1"/>
  <c r="AY10" i="12"/>
  <c r="BC10" i="12" s="1"/>
  <c r="BK10" i="12" s="1"/>
  <c r="AG11" i="12"/>
  <c r="AH11" i="12"/>
  <c r="AI11" i="12"/>
  <c r="W20" i="12"/>
  <c r="I21" i="12" s="1"/>
  <c r="H19" i="12"/>
  <c r="AM37" i="12"/>
  <c r="AL37" i="12"/>
  <c r="BI10" i="12"/>
  <c r="S12" i="12"/>
  <c r="V38" i="12"/>
  <c r="D39" i="12"/>
  <c r="AK38" i="12"/>
  <c r="Q11" i="12"/>
  <c r="M10" i="12"/>
  <c r="BE20" i="12"/>
  <c r="AW11" i="10"/>
  <c r="BA11" i="10" s="1"/>
  <c r="BI11" i="10" s="1"/>
  <c r="AM36" i="12"/>
  <c r="N12" i="11"/>
  <c r="BO10" i="11"/>
  <c r="BN10" i="11"/>
  <c r="V38" i="11"/>
  <c r="D39" i="11"/>
  <c r="AK38" i="11"/>
  <c r="W21" i="11"/>
  <c r="I22" i="11" s="1"/>
  <c r="H20" i="11"/>
  <c r="AM36" i="11"/>
  <c r="AO11" i="11"/>
  <c r="AA21" i="11"/>
  <c r="AD21" i="11" s="1"/>
  <c r="BF21" i="11" s="1"/>
  <c r="BG20" i="11"/>
  <c r="AL37" i="11"/>
  <c r="AL37" i="10"/>
  <c r="AM37" i="10" s="1"/>
  <c r="V38" i="10"/>
  <c r="D39" i="10"/>
  <c r="AK38" i="10"/>
  <c r="AM36" i="10"/>
  <c r="Q12" i="10"/>
  <c r="M11" i="10"/>
  <c r="W20" i="10"/>
  <c r="I21" i="10" s="1"/>
  <c r="H19" i="10"/>
  <c r="BG19" i="10"/>
  <c r="AA20" i="10"/>
  <c r="AD20" i="10" s="1"/>
  <c r="BF20" i="10" s="1"/>
  <c r="V38" i="9"/>
  <c r="AK38" i="9"/>
  <c r="D39" i="9"/>
  <c r="BI10" i="9"/>
  <c r="Z21" i="9"/>
  <c r="Y21" i="9"/>
  <c r="J21" i="9"/>
  <c r="AL37" i="9"/>
  <c r="AM37" i="9" s="1"/>
  <c r="AE20" i="9"/>
  <c r="BE20" i="9"/>
  <c r="AY10" i="9"/>
  <c r="BC10" i="9" s="1"/>
  <c r="AI11" i="9" s="1"/>
  <c r="BG9" i="1"/>
  <c r="BE9" i="1"/>
  <c r="AO9" i="1"/>
  <c r="BF9" i="1"/>
  <c r="AL34" i="1"/>
  <c r="AM34" i="1" s="1"/>
  <c r="D36" i="1"/>
  <c r="V36" i="1" s="1"/>
  <c r="Z15" i="1"/>
  <c r="J15" i="1"/>
  <c r="AL35" i="1"/>
  <c r="AM35" i="1" s="1"/>
  <c r="G20" i="12" l="1"/>
  <c r="G20" i="10"/>
  <c r="AC20" i="10"/>
  <c r="G21" i="11"/>
  <c r="AC21" i="11"/>
  <c r="BE21" i="11" s="1"/>
  <c r="AK36" i="1"/>
  <c r="BM10" i="12"/>
  <c r="BO10" i="12" s="1"/>
  <c r="L11" i="11"/>
  <c r="AY11" i="10"/>
  <c r="BC11" i="10" s="1"/>
  <c r="AI12" i="10" s="1"/>
  <c r="AE20" i="12"/>
  <c r="AL38" i="12"/>
  <c r="Z21" i="12"/>
  <c r="Y21" i="12"/>
  <c r="J21" i="12"/>
  <c r="N12" i="12"/>
  <c r="BN10" i="12"/>
  <c r="AO11" i="12"/>
  <c r="AS11" i="12" s="1"/>
  <c r="V39" i="12"/>
  <c r="D40" i="12"/>
  <c r="AK39" i="12"/>
  <c r="AA21" i="9"/>
  <c r="AD21" i="9" s="1"/>
  <c r="BF21" i="9" s="1"/>
  <c r="Z22" i="11"/>
  <c r="Y22" i="11"/>
  <c r="J22" i="11"/>
  <c r="AE21" i="11"/>
  <c r="AL38" i="11"/>
  <c r="AP11" i="11"/>
  <c r="AT11" i="11" s="1"/>
  <c r="AS11" i="11"/>
  <c r="AM37" i="11"/>
  <c r="V39" i="11"/>
  <c r="D40" i="11"/>
  <c r="AK39" i="11"/>
  <c r="O12" i="11"/>
  <c r="T12" i="11"/>
  <c r="Z21" i="10"/>
  <c r="Y21" i="10"/>
  <c r="J21" i="10"/>
  <c r="AL38" i="10"/>
  <c r="AM38" i="10" s="1"/>
  <c r="V39" i="10"/>
  <c r="D40" i="10"/>
  <c r="AK39" i="10"/>
  <c r="BK11" i="10"/>
  <c r="BM11" i="10" s="1"/>
  <c r="AH12" i="10"/>
  <c r="AE20" i="10"/>
  <c r="AG12" i="10"/>
  <c r="BE20" i="10"/>
  <c r="BG20" i="9"/>
  <c r="BK10" i="9"/>
  <c r="BM10" i="9" s="1"/>
  <c r="AH11" i="9"/>
  <c r="AG11" i="9"/>
  <c r="S12" i="9"/>
  <c r="V39" i="9"/>
  <c r="D40" i="9"/>
  <c r="AK39" i="9"/>
  <c r="AL38" i="9"/>
  <c r="AM38" i="9" s="1"/>
  <c r="W21" i="9"/>
  <c r="I22" i="9" s="1"/>
  <c r="H20" i="9"/>
  <c r="AS9" i="1"/>
  <c r="AP9" i="1"/>
  <c r="AT9" i="1" s="1"/>
  <c r="D37" i="1"/>
  <c r="V37" i="1" s="1"/>
  <c r="H14" i="1"/>
  <c r="AA15" i="1"/>
  <c r="AC15" i="1" s="1"/>
  <c r="W15" i="1"/>
  <c r="AL36" i="1"/>
  <c r="AM36" i="1" s="1"/>
  <c r="AK37" i="1" l="1"/>
  <c r="AD15" i="1"/>
  <c r="AE15" i="1" s="1"/>
  <c r="AC21" i="10"/>
  <c r="AD21" i="12"/>
  <c r="AC22" i="11"/>
  <c r="AC21" i="9"/>
  <c r="BE21" i="9" s="1"/>
  <c r="G21" i="9"/>
  <c r="S13" i="10"/>
  <c r="L11" i="12"/>
  <c r="AQ11" i="11"/>
  <c r="AU11" i="11" s="1"/>
  <c r="AW11" i="11" s="1"/>
  <c r="BA11" i="11" s="1"/>
  <c r="AL39" i="12"/>
  <c r="O12" i="12"/>
  <c r="V40" i="12"/>
  <c r="D41" i="12"/>
  <c r="AK40" i="12"/>
  <c r="T12" i="12"/>
  <c r="AP11" i="12"/>
  <c r="AT11" i="12" s="1"/>
  <c r="AM38" i="12"/>
  <c r="BG20" i="12"/>
  <c r="AA21" i="12"/>
  <c r="AC21" i="12" s="1"/>
  <c r="BE21" i="12" s="1"/>
  <c r="W21" i="12"/>
  <c r="I22" i="12" s="1"/>
  <c r="H20" i="12"/>
  <c r="Q12" i="11"/>
  <c r="M11" i="11"/>
  <c r="W22" i="11"/>
  <c r="I23" i="11" s="1"/>
  <c r="H21" i="11"/>
  <c r="V40" i="11"/>
  <c r="D41" i="11"/>
  <c r="AK40" i="11"/>
  <c r="BG21" i="11"/>
  <c r="AA22" i="11"/>
  <c r="AD22" i="11" s="1"/>
  <c r="BF22" i="11" s="1"/>
  <c r="AL39" i="11"/>
  <c r="AX11" i="11"/>
  <c r="BB11" i="11" s="1"/>
  <c r="BJ11" i="11" s="1"/>
  <c r="AM38" i="11"/>
  <c r="BO11" i="10"/>
  <c r="N13" i="10"/>
  <c r="BN11" i="10"/>
  <c r="W21" i="10"/>
  <c r="I22" i="10" s="1"/>
  <c r="H20" i="10"/>
  <c r="AA21" i="10"/>
  <c r="AD21" i="10" s="1"/>
  <c r="BF21" i="10" s="1"/>
  <c r="V40" i="10"/>
  <c r="D41" i="10"/>
  <c r="AK40" i="10"/>
  <c r="AO12" i="10"/>
  <c r="BG20" i="10"/>
  <c r="AL39" i="10"/>
  <c r="N12" i="9"/>
  <c r="BO10" i="9"/>
  <c r="BN10" i="9"/>
  <c r="AL39" i="9"/>
  <c r="V40" i="9"/>
  <c r="AK40" i="9"/>
  <c r="D41" i="9"/>
  <c r="AE21" i="9"/>
  <c r="AO11" i="9"/>
  <c r="Y22" i="9"/>
  <c r="Z22" i="9"/>
  <c r="J22" i="9"/>
  <c r="AQ9" i="1"/>
  <c r="AU9" i="1" s="1"/>
  <c r="AW9" i="1" s="1"/>
  <c r="BA9" i="1" s="1"/>
  <c r="D38" i="1"/>
  <c r="V38" i="1" s="1"/>
  <c r="I16" i="1"/>
  <c r="AL37" i="1"/>
  <c r="AM37" i="1" s="1"/>
  <c r="G21" i="10" l="1"/>
  <c r="G22" i="11"/>
  <c r="Y16" i="1"/>
  <c r="G15" i="1"/>
  <c r="AK38" i="1"/>
  <c r="AK39" i="1" s="1"/>
  <c r="G21" i="12"/>
  <c r="T12" i="9"/>
  <c r="L11" i="9"/>
  <c r="T13" i="10"/>
  <c r="L12" i="10"/>
  <c r="AE21" i="12"/>
  <c r="Q12" i="12"/>
  <c r="M11" i="12"/>
  <c r="BF21" i="12"/>
  <c r="Z22" i="12"/>
  <c r="Y22" i="12"/>
  <c r="J22" i="12"/>
  <c r="AL40" i="12"/>
  <c r="AM40" i="12" s="1"/>
  <c r="BG21" i="12"/>
  <c r="AQ11" i="12"/>
  <c r="AU11" i="12" s="1"/>
  <c r="V41" i="12"/>
  <c r="AK41" i="12"/>
  <c r="AM39" i="12"/>
  <c r="BI11" i="11"/>
  <c r="AY11" i="11"/>
  <c r="BC11" i="11" s="1"/>
  <c r="Z23" i="11"/>
  <c r="Y23" i="11"/>
  <c r="J23" i="11"/>
  <c r="AM39" i="11"/>
  <c r="AE22" i="11"/>
  <c r="BG22" i="11" s="1"/>
  <c r="BE22" i="11"/>
  <c r="AL40" i="11"/>
  <c r="AM40" i="11" s="1"/>
  <c r="V41" i="11"/>
  <c r="AK41" i="11"/>
  <c r="Z22" i="10"/>
  <c r="Y22" i="10"/>
  <c r="J22" i="10"/>
  <c r="AM39" i="10"/>
  <c r="AP12" i="10"/>
  <c r="AT12" i="10" s="1"/>
  <c r="AE21" i="10"/>
  <c r="BG21" i="10" s="1"/>
  <c r="O13" i="10"/>
  <c r="AS12" i="10"/>
  <c r="BE21" i="10"/>
  <c r="AL40" i="10"/>
  <c r="AM40" i="10" s="1"/>
  <c r="V41" i="10"/>
  <c r="AK41" i="10"/>
  <c r="AP11" i="9"/>
  <c r="AT11" i="9" s="1"/>
  <c r="AM39" i="9"/>
  <c r="W22" i="9"/>
  <c r="I23" i="9" s="1"/>
  <c r="H21" i="9"/>
  <c r="AA22" i="9"/>
  <c r="AD22" i="9" s="1"/>
  <c r="BG21" i="9"/>
  <c r="AS11" i="9"/>
  <c r="V41" i="9"/>
  <c r="AK41" i="9"/>
  <c r="AL40" i="9"/>
  <c r="O12" i="9"/>
  <c r="AX9" i="1"/>
  <c r="BB9" i="1" s="1"/>
  <c r="BJ9" i="1" s="1"/>
  <c r="BI9" i="1"/>
  <c r="S9" i="1"/>
  <c r="D39" i="1"/>
  <c r="V39" i="1" s="1"/>
  <c r="Z16" i="1"/>
  <c r="J16" i="1"/>
  <c r="G22" i="9" l="1"/>
  <c r="AD22" i="12"/>
  <c r="AD16" i="1"/>
  <c r="AC22" i="9"/>
  <c r="AL41" i="12"/>
  <c r="BF22" i="12"/>
  <c r="W22" i="12"/>
  <c r="I23" i="12" s="1"/>
  <c r="H21" i="12"/>
  <c r="AX11" i="12"/>
  <c r="BB11" i="12" s="1"/>
  <c r="BJ11" i="12" s="1"/>
  <c r="AW11" i="12"/>
  <c r="BA11" i="12" s="1"/>
  <c r="AA22" i="12"/>
  <c r="AC22" i="12" s="1"/>
  <c r="BE22" i="12" s="1"/>
  <c r="AA23" i="11"/>
  <c r="AD23" i="11" s="1"/>
  <c r="BF23" i="11" s="1"/>
  <c r="BK11" i="11"/>
  <c r="BM11" i="11" s="1"/>
  <c r="AH12" i="11"/>
  <c r="AI12" i="11"/>
  <c r="AG12" i="11"/>
  <c r="W23" i="11"/>
  <c r="I24" i="11" s="1"/>
  <c r="H22" i="11"/>
  <c r="AL41" i="11"/>
  <c r="AM41" i="11" s="1"/>
  <c r="S13" i="11"/>
  <c r="W22" i="10"/>
  <c r="I23" i="10" s="1"/>
  <c r="H21" i="10"/>
  <c r="AQ12" i="10"/>
  <c r="AU12" i="10" s="1"/>
  <c r="AW12" i="10" s="1"/>
  <c r="AL41" i="10"/>
  <c r="AM41" i="10" s="1"/>
  <c r="Q13" i="10"/>
  <c r="M12" i="10"/>
  <c r="AA22" i="10"/>
  <c r="AC22" i="10" s="1"/>
  <c r="AE22" i="9"/>
  <c r="BG22" i="9" s="1"/>
  <c r="BE22" i="9"/>
  <c r="AM40" i="9"/>
  <c r="Q12" i="9"/>
  <c r="M11" i="9"/>
  <c r="BF22" i="9"/>
  <c r="AL41" i="9"/>
  <c r="AQ11" i="9"/>
  <c r="AU11" i="9" s="1"/>
  <c r="AW11" i="9" s="1"/>
  <c r="BA11" i="9" s="1"/>
  <c r="Z23" i="9"/>
  <c r="Y23" i="9"/>
  <c r="J23" i="9"/>
  <c r="AL38" i="1"/>
  <c r="AM38" i="1" s="1"/>
  <c r="AY9" i="1"/>
  <c r="BC9" i="1" s="1"/>
  <c r="N9" i="1"/>
  <c r="D40" i="1"/>
  <c r="V40" i="1" s="1"/>
  <c r="H15" i="1"/>
  <c r="W16" i="1"/>
  <c r="AA16" i="1"/>
  <c r="AC16" i="1" s="1"/>
  <c r="AE16" i="1" s="1"/>
  <c r="AL39" i="1"/>
  <c r="AM39" i="1" s="1"/>
  <c r="AC23" i="11" l="1"/>
  <c r="BE23" i="11" s="1"/>
  <c r="G23" i="11"/>
  <c r="AD22" i="10"/>
  <c r="AE22" i="10" s="1"/>
  <c r="BG22" i="10" s="1"/>
  <c r="AK40" i="1"/>
  <c r="AK41" i="1" s="1"/>
  <c r="G22" i="12"/>
  <c r="AA23" i="9"/>
  <c r="AD23" i="9" s="1"/>
  <c r="BF23" i="9" s="1"/>
  <c r="AC23" i="9"/>
  <c r="G22" i="10"/>
  <c r="T9" i="1"/>
  <c r="L8" i="1"/>
  <c r="AY11" i="12"/>
  <c r="BC11" i="12" s="1"/>
  <c r="AI12" i="12" s="1"/>
  <c r="Z23" i="12"/>
  <c r="Y23" i="12"/>
  <c r="AA23" i="12" s="1"/>
  <c r="J23" i="12"/>
  <c r="BI11" i="12"/>
  <c r="AM41" i="12"/>
  <c r="AE22" i="12"/>
  <c r="BO11" i="11"/>
  <c r="N13" i="11"/>
  <c r="BN11" i="11"/>
  <c r="AE23" i="11"/>
  <c r="BG23" i="11" s="1"/>
  <c r="Z24" i="11"/>
  <c r="Y24" i="11"/>
  <c r="J24" i="11"/>
  <c r="AO12" i="11"/>
  <c r="BA12" i="10"/>
  <c r="AX11" i="9"/>
  <c r="BB11" i="9" s="1"/>
  <c r="BJ11" i="9" s="1"/>
  <c r="AX12" i="10"/>
  <c r="BB12" i="10" s="1"/>
  <c r="BJ12" i="10" s="1"/>
  <c r="BE22" i="10"/>
  <c r="Z23" i="10"/>
  <c r="Y23" i="10"/>
  <c r="J23" i="10"/>
  <c r="BF22" i="10"/>
  <c r="BI11" i="9"/>
  <c r="W23" i="9"/>
  <c r="I24" i="9" s="1"/>
  <c r="H22" i="9"/>
  <c r="AM41" i="9"/>
  <c r="BK9" i="1"/>
  <c r="BM9" i="1" s="1"/>
  <c r="BO9" i="1" s="1"/>
  <c r="AG10" i="1"/>
  <c r="AI10" i="1"/>
  <c r="AH10" i="1"/>
  <c r="O9" i="1"/>
  <c r="D41" i="1"/>
  <c r="V41" i="1" s="1"/>
  <c r="I17" i="1"/>
  <c r="AD24" i="11" l="1"/>
  <c r="AG12" i="12"/>
  <c r="AD23" i="12"/>
  <c r="AL40" i="1"/>
  <c r="AM40" i="1" s="1"/>
  <c r="Y17" i="1"/>
  <c r="G16" i="1"/>
  <c r="G23" i="9"/>
  <c r="AC23" i="12"/>
  <c r="BE23" i="12" s="1"/>
  <c r="BK11" i="12"/>
  <c r="BM11" i="12" s="1"/>
  <c r="S13" i="12"/>
  <c r="AH12" i="12"/>
  <c r="L12" i="11"/>
  <c r="AA24" i="11"/>
  <c r="AC24" i="11" s="1"/>
  <c r="BE24" i="11" s="1"/>
  <c r="W23" i="12"/>
  <c r="I24" i="12" s="1"/>
  <c r="H22" i="12"/>
  <c r="AO12" i="12"/>
  <c r="AS12" i="12" s="1"/>
  <c r="BG22" i="12"/>
  <c r="AP12" i="11"/>
  <c r="AT12" i="11" s="1"/>
  <c r="AS12" i="11"/>
  <c r="W24" i="11"/>
  <c r="I25" i="11" s="1"/>
  <c r="H23" i="11"/>
  <c r="O13" i="11"/>
  <c r="AY11" i="9"/>
  <c r="BC11" i="9" s="1"/>
  <c r="AH12" i="9" s="1"/>
  <c r="T13" i="11"/>
  <c r="W23" i="10"/>
  <c r="I24" i="10" s="1"/>
  <c r="H22" i="10"/>
  <c r="AY12" i="10"/>
  <c r="BC12" i="10" s="1"/>
  <c r="AA23" i="10"/>
  <c r="AC23" i="10" s="1"/>
  <c r="BE23" i="10" s="1"/>
  <c r="BI12" i="10"/>
  <c r="AE23" i="9"/>
  <c r="BE23" i="9"/>
  <c r="Z24" i="9"/>
  <c r="Y24" i="9"/>
  <c r="J24" i="9"/>
  <c r="BN9" i="1"/>
  <c r="Q9" i="1"/>
  <c r="M8" i="1"/>
  <c r="AL41" i="1"/>
  <c r="AM41" i="1" s="1"/>
  <c r="Z17" i="1"/>
  <c r="J17" i="1"/>
  <c r="G23" i="10" l="1"/>
  <c r="AD23" i="10"/>
  <c r="AD24" i="9"/>
  <c r="G23" i="12"/>
  <c r="G24" i="11"/>
  <c r="AC24" i="9"/>
  <c r="N13" i="12"/>
  <c r="BO11" i="12"/>
  <c r="BN11" i="12"/>
  <c r="BF23" i="12"/>
  <c r="AP12" i="12"/>
  <c r="AT12" i="12" s="1"/>
  <c r="AG12" i="9"/>
  <c r="AO12" i="9" s="1"/>
  <c r="AS12" i="9" s="1"/>
  <c r="AE23" i="12"/>
  <c r="AI12" i="9"/>
  <c r="BK11" i="9"/>
  <c r="BM11" i="9" s="1"/>
  <c r="BO11" i="9" s="1"/>
  <c r="S13" i="9"/>
  <c r="Z24" i="12"/>
  <c r="Y24" i="12"/>
  <c r="J24" i="12"/>
  <c r="Z25" i="11"/>
  <c r="Y25" i="11"/>
  <c r="J25" i="11"/>
  <c r="AE24" i="11"/>
  <c r="Q13" i="11"/>
  <c r="M12" i="11"/>
  <c r="BF24" i="11"/>
  <c r="AQ12" i="11"/>
  <c r="AU12" i="11" s="1"/>
  <c r="S14" i="10"/>
  <c r="BK12" i="10"/>
  <c r="BM12" i="10" s="1"/>
  <c r="AH13" i="10"/>
  <c r="AI13" i="10"/>
  <c r="AG13" i="10"/>
  <c r="AE23" i="10"/>
  <c r="BG23" i="10" s="1"/>
  <c r="BF23" i="10"/>
  <c r="Z24" i="10"/>
  <c r="Y24" i="10"/>
  <c r="J24" i="10"/>
  <c r="BN11" i="9"/>
  <c r="BG23" i="9"/>
  <c r="W24" i="9"/>
  <c r="I25" i="9" s="1"/>
  <c r="H23" i="9"/>
  <c r="AA24" i="9"/>
  <c r="BG10" i="1"/>
  <c r="BF10" i="1"/>
  <c r="BE10" i="1"/>
  <c r="H16" i="1"/>
  <c r="AA17" i="1"/>
  <c r="AC17" i="1" s="1"/>
  <c r="W17" i="1"/>
  <c r="AA24" i="12" l="1"/>
  <c r="AC24" i="12"/>
  <c r="G24" i="9"/>
  <c r="AD24" i="12"/>
  <c r="BF24" i="12" s="1"/>
  <c r="AD17" i="1"/>
  <c r="AE17" i="1" s="1"/>
  <c r="N13" i="9"/>
  <c r="L12" i="9" s="1"/>
  <c r="L12" i="12"/>
  <c r="AA25" i="11"/>
  <c r="AC25" i="11" s="1"/>
  <c r="BE25" i="11" s="1"/>
  <c r="AQ12" i="12"/>
  <c r="AU12" i="12" s="1"/>
  <c r="AX12" i="12" s="1"/>
  <c r="BB12" i="12" s="1"/>
  <c r="BJ12" i="12" s="1"/>
  <c r="BG23" i="12"/>
  <c r="W24" i="12"/>
  <c r="I25" i="12" s="1"/>
  <c r="H23" i="12"/>
  <c r="O13" i="12"/>
  <c r="T13" i="12"/>
  <c r="W25" i="11"/>
  <c r="I26" i="11" s="1"/>
  <c r="H24" i="11"/>
  <c r="BG24" i="11"/>
  <c r="AW12" i="11"/>
  <c r="BA12" i="11" s="1"/>
  <c r="AX12" i="11"/>
  <c r="BB12" i="11" s="1"/>
  <c r="BJ12" i="11" s="1"/>
  <c r="BO12" i="10"/>
  <c r="N14" i="10"/>
  <c r="BN12" i="10"/>
  <c r="W24" i="10"/>
  <c r="I25" i="10" s="1"/>
  <c r="H23" i="10"/>
  <c r="AA24" i="10"/>
  <c r="AC24" i="10" s="1"/>
  <c r="BE24" i="10" s="1"/>
  <c r="AO13" i="10"/>
  <c r="AP12" i="9"/>
  <c r="AT12" i="9" s="1"/>
  <c r="AE24" i="9"/>
  <c r="Z25" i="9"/>
  <c r="Y25" i="9"/>
  <c r="J25" i="9"/>
  <c r="BE24" i="9"/>
  <c r="BF24" i="9"/>
  <c r="AO10" i="1"/>
  <c r="AS10" i="1" s="1"/>
  <c r="I18" i="1"/>
  <c r="T13" i="9" l="1"/>
  <c r="Y18" i="1"/>
  <c r="G17" i="1"/>
  <c r="O13" i="9"/>
  <c r="M12" i="9" s="1"/>
  <c r="G25" i="11"/>
  <c r="AD24" i="10"/>
  <c r="BF24" i="10" s="1"/>
  <c r="AC25" i="9"/>
  <c r="AD25" i="11"/>
  <c r="BF25" i="11" s="1"/>
  <c r="G24" i="10"/>
  <c r="G24" i="12"/>
  <c r="AW12" i="12"/>
  <c r="BA12" i="12" s="1"/>
  <c r="BI12" i="12" s="1"/>
  <c r="T14" i="10"/>
  <c r="L13" i="10"/>
  <c r="Z25" i="12"/>
  <c r="Y25" i="12"/>
  <c r="AA25" i="12"/>
  <c r="J25" i="12"/>
  <c r="Q13" i="12"/>
  <c r="M12" i="12"/>
  <c r="AE24" i="12"/>
  <c r="BE24" i="12"/>
  <c r="Z26" i="11"/>
  <c r="Y26" i="11"/>
  <c r="J26" i="11"/>
  <c r="AE25" i="11"/>
  <c r="BI12" i="11"/>
  <c r="AY12" i="11"/>
  <c r="BC12" i="11" s="1"/>
  <c r="Z25" i="10"/>
  <c r="Y25" i="10"/>
  <c r="J25" i="10"/>
  <c r="O14" i="10"/>
  <c r="AP13" i="10"/>
  <c r="AT13" i="10" s="1"/>
  <c r="AE24" i="10"/>
  <c r="AQ12" i="9"/>
  <c r="AU12" i="9" s="1"/>
  <c r="AX12" i="9" s="1"/>
  <c r="BB12" i="9" s="1"/>
  <c r="BJ12" i="9" s="1"/>
  <c r="AS13" i="10"/>
  <c r="BG24" i="9"/>
  <c r="W25" i="9"/>
  <c r="I26" i="9" s="1"/>
  <c r="H24" i="9"/>
  <c r="AA25" i="9"/>
  <c r="AD25" i="9" s="1"/>
  <c r="AP10" i="1"/>
  <c r="AT10" i="1" s="1"/>
  <c r="Z18" i="1"/>
  <c r="J18" i="1"/>
  <c r="Q13" i="9" l="1"/>
  <c r="G25" i="9"/>
  <c r="AD25" i="12"/>
  <c r="AD25" i="10"/>
  <c r="BF25" i="10" s="1"/>
  <c r="AC25" i="12"/>
  <c r="AC25" i="10"/>
  <c r="AY12" i="12"/>
  <c r="BC12" i="12" s="1"/>
  <c r="AH13" i="12" s="1"/>
  <c r="BG24" i="12"/>
  <c r="W25" i="12"/>
  <c r="I26" i="12" s="1"/>
  <c r="H24" i="12"/>
  <c r="BK12" i="12"/>
  <c r="BM12" i="12" s="1"/>
  <c r="AG13" i="12"/>
  <c r="S14" i="12"/>
  <c r="BG25" i="11"/>
  <c r="W26" i="11"/>
  <c r="I27" i="11" s="1"/>
  <c r="H25" i="11"/>
  <c r="BK12" i="11"/>
  <c r="BM12" i="11" s="1"/>
  <c r="AH13" i="11"/>
  <c r="AI13" i="11"/>
  <c r="AG13" i="11"/>
  <c r="S14" i="11"/>
  <c r="AA26" i="11"/>
  <c r="AC26" i="11" s="1"/>
  <c r="BE26" i="11" s="1"/>
  <c r="AW12" i="9"/>
  <c r="BA12" i="9" s="1"/>
  <c r="BI12" i="9" s="1"/>
  <c r="W25" i="10"/>
  <c r="I26" i="10" s="1"/>
  <c r="H24" i="10"/>
  <c r="AQ13" i="10"/>
  <c r="AU13" i="10" s="1"/>
  <c r="AX13" i="10" s="1"/>
  <c r="BB13" i="10" s="1"/>
  <c r="BJ13" i="10" s="1"/>
  <c r="AA25" i="10"/>
  <c r="Q14" i="10"/>
  <c r="M13" i="10"/>
  <c r="BG24" i="10"/>
  <c r="AE25" i="9"/>
  <c r="BG25" i="9" s="1"/>
  <c r="BE25" i="9"/>
  <c r="BF25" i="9"/>
  <c r="Z26" i="9"/>
  <c r="Y26" i="9"/>
  <c r="J26" i="9"/>
  <c r="AQ10" i="1"/>
  <c r="AU10" i="1" s="1"/>
  <c r="AX10" i="1" s="1"/>
  <c r="BB10" i="1" s="1"/>
  <c r="BJ10" i="1" s="1"/>
  <c r="H17" i="1"/>
  <c r="AA18" i="1"/>
  <c r="AD18" i="1" s="1"/>
  <c r="W18" i="1"/>
  <c r="G26" i="11" l="1"/>
  <c r="AC18" i="1"/>
  <c r="AE18" i="1" s="1"/>
  <c r="AD26" i="11"/>
  <c r="G25" i="12"/>
  <c r="AA26" i="9"/>
  <c r="AD26" i="9" s="1"/>
  <c r="BF26" i="9" s="1"/>
  <c r="AC26" i="9"/>
  <c r="BE26" i="9" s="1"/>
  <c r="AI13" i="12"/>
  <c r="G25" i="10"/>
  <c r="AE25" i="12"/>
  <c r="BE25" i="12"/>
  <c r="Z26" i="12"/>
  <c r="Y26" i="12"/>
  <c r="J26" i="12"/>
  <c r="AO13" i="12"/>
  <c r="BF25" i="12"/>
  <c r="N14" i="12"/>
  <c r="BO12" i="12"/>
  <c r="BN12" i="12"/>
  <c r="N14" i="11"/>
  <c r="BO12" i="11"/>
  <c r="BN12" i="11"/>
  <c r="Y27" i="11"/>
  <c r="Z27" i="11"/>
  <c r="J27" i="11"/>
  <c r="AE26" i="11"/>
  <c r="AY12" i="9"/>
  <c r="BC12" i="9" s="1"/>
  <c r="AG13" i="9" s="1"/>
  <c r="BF26" i="11"/>
  <c r="AO13" i="11"/>
  <c r="AW13" i="10"/>
  <c r="BA13" i="10" s="1"/>
  <c r="AE25" i="10"/>
  <c r="BG25" i="10" s="1"/>
  <c r="BE25" i="10"/>
  <c r="Z26" i="10"/>
  <c r="Y26" i="10"/>
  <c r="J26" i="10"/>
  <c r="W26" i="9"/>
  <c r="I27" i="9" s="1"/>
  <c r="H25" i="9"/>
  <c r="AW10" i="1"/>
  <c r="BA10" i="1" s="1"/>
  <c r="BI10" i="1" s="1"/>
  <c r="S10" i="1"/>
  <c r="I19" i="1"/>
  <c r="AA26" i="12" l="1"/>
  <c r="AC26" i="12"/>
  <c r="G26" i="9"/>
  <c r="AD26" i="12"/>
  <c r="Y19" i="1"/>
  <c r="G18" i="1"/>
  <c r="L13" i="12"/>
  <c r="T14" i="11"/>
  <c r="L13" i="11"/>
  <c r="AP13" i="12"/>
  <c r="AT13" i="12" s="1"/>
  <c r="S14" i="9"/>
  <c r="AA26" i="10"/>
  <c r="AC26" i="10" s="1"/>
  <c r="BE26" i="10" s="1"/>
  <c r="AS13" i="12"/>
  <c r="BG25" i="12"/>
  <c r="O14" i="12"/>
  <c r="W26" i="12"/>
  <c r="I27" i="12" s="1"/>
  <c r="H25" i="12"/>
  <c r="T14" i="12"/>
  <c r="W27" i="11"/>
  <c r="I28" i="11" s="1"/>
  <c r="H26" i="11"/>
  <c r="AI13" i="9"/>
  <c r="BG26" i="11"/>
  <c r="BK12" i="9"/>
  <c r="BM12" i="9" s="1"/>
  <c r="N14" i="9" s="1"/>
  <c r="AA27" i="11"/>
  <c r="AD27" i="11" s="1"/>
  <c r="BF27" i="11" s="1"/>
  <c r="AH13" i="9"/>
  <c r="AP13" i="11"/>
  <c r="AT13" i="11" s="1"/>
  <c r="AS13" i="11"/>
  <c r="O14" i="11"/>
  <c r="BI13" i="10"/>
  <c r="W26" i="10"/>
  <c r="I27" i="10" s="1"/>
  <c r="H25" i="10"/>
  <c r="AY13" i="10"/>
  <c r="BC13" i="10" s="1"/>
  <c r="Z27" i="9"/>
  <c r="Y27" i="9"/>
  <c r="J27" i="9"/>
  <c r="AE26" i="9"/>
  <c r="AO13" i="9"/>
  <c r="AY10" i="1"/>
  <c r="BC10" i="1" s="1"/>
  <c r="N10" i="1"/>
  <c r="Z19" i="1"/>
  <c r="J19" i="1"/>
  <c r="G26" i="12" l="1"/>
  <c r="G26" i="10"/>
  <c r="AC27" i="11"/>
  <c r="AD27" i="9"/>
  <c r="BF27" i="9" s="1"/>
  <c r="AD26" i="10"/>
  <c r="BF26" i="10" s="1"/>
  <c r="AC27" i="9"/>
  <c r="BE27" i="9" s="1"/>
  <c r="G27" i="11"/>
  <c r="AQ13" i="11"/>
  <c r="AU13" i="11" s="1"/>
  <c r="AX13" i="11" s="1"/>
  <c r="BB13" i="11" s="1"/>
  <c r="BJ13" i="11" s="1"/>
  <c r="L13" i="9"/>
  <c r="L9" i="1"/>
  <c r="T14" i="9"/>
  <c r="AA27" i="9"/>
  <c r="Z27" i="12"/>
  <c r="Y27" i="12"/>
  <c r="AA27" i="12"/>
  <c r="J27" i="12"/>
  <c r="Q14" i="12"/>
  <c r="M13" i="12"/>
  <c r="BF26" i="12"/>
  <c r="AE26" i="12"/>
  <c r="AQ13" i="12"/>
  <c r="AU13" i="12" s="1"/>
  <c r="AX13" i="12" s="1"/>
  <c r="BB13" i="12" s="1"/>
  <c r="BJ13" i="12" s="1"/>
  <c r="BN12" i="9"/>
  <c r="BE26" i="12"/>
  <c r="AW13" i="11"/>
  <c r="BA13" i="11" s="1"/>
  <c r="Z28" i="11"/>
  <c r="Y28" i="11"/>
  <c r="J28" i="11"/>
  <c r="BO12" i="9"/>
  <c r="Q14" i="11"/>
  <c r="M13" i="11"/>
  <c r="AE27" i="11"/>
  <c r="BE27" i="11"/>
  <c r="BK13" i="10"/>
  <c r="BM13" i="10" s="1"/>
  <c r="AH14" i="10"/>
  <c r="AG14" i="10"/>
  <c r="AI14" i="10"/>
  <c r="S15" i="10"/>
  <c r="Z27" i="10"/>
  <c r="Y27" i="10"/>
  <c r="J27" i="10"/>
  <c r="AE26" i="10"/>
  <c r="AP13" i="9"/>
  <c r="AT13" i="9" s="1"/>
  <c r="BG26" i="9"/>
  <c r="AS13" i="9"/>
  <c r="W27" i="9"/>
  <c r="I28" i="9" s="1"/>
  <c r="H26" i="9"/>
  <c r="O14" i="9"/>
  <c r="BK10" i="1"/>
  <c r="BM10" i="1" s="1"/>
  <c r="BN10" i="1" s="1"/>
  <c r="AI11" i="1"/>
  <c r="AG11" i="1"/>
  <c r="AH11" i="1"/>
  <c r="O10" i="1"/>
  <c r="T10" i="1"/>
  <c r="H18" i="1"/>
  <c r="AA19" i="1"/>
  <c r="AD19" i="1" s="1"/>
  <c r="W19" i="1"/>
  <c r="G27" i="9" l="1"/>
  <c r="AC19" i="1"/>
  <c r="AE19" i="1" s="1"/>
  <c r="AD28" i="11"/>
  <c r="BF28" i="11" s="1"/>
  <c r="AC27" i="10"/>
  <c r="AC27" i="12"/>
  <c r="BE27" i="12" s="1"/>
  <c r="AD27" i="12"/>
  <c r="AA28" i="11"/>
  <c r="AC28" i="11" s="1"/>
  <c r="BE28" i="11" s="1"/>
  <c r="BG26" i="12"/>
  <c r="W27" i="12"/>
  <c r="I28" i="12" s="1"/>
  <c r="H26" i="12"/>
  <c r="AW13" i="12"/>
  <c r="BG27" i="11"/>
  <c r="BI13" i="11"/>
  <c r="W28" i="11"/>
  <c r="I29" i="11" s="1"/>
  <c r="H27" i="11"/>
  <c r="AY13" i="11"/>
  <c r="BC13" i="11" s="1"/>
  <c r="S15" i="11" s="1"/>
  <c r="BO13" i="10"/>
  <c r="N15" i="10"/>
  <c r="BN13" i="10"/>
  <c r="W27" i="10"/>
  <c r="I28" i="10" s="1"/>
  <c r="H26" i="10"/>
  <c r="AO14" i="10"/>
  <c r="AS14" i="10" s="1"/>
  <c r="BG26" i="10"/>
  <c r="AA27" i="10"/>
  <c r="AD27" i="10" s="1"/>
  <c r="Q14" i="9"/>
  <c r="M13" i="9"/>
  <c r="Y28" i="9"/>
  <c r="Z28" i="9"/>
  <c r="J28" i="9"/>
  <c r="AQ13" i="9"/>
  <c r="AU13" i="9" s="1"/>
  <c r="AE27" i="9"/>
  <c r="BO10" i="1"/>
  <c r="Q10" i="1"/>
  <c r="M9" i="1"/>
  <c r="I20" i="1"/>
  <c r="G28" i="11" l="1"/>
  <c r="G27" i="12"/>
  <c r="AD28" i="9"/>
  <c r="G27" i="10"/>
  <c r="Y20" i="1"/>
  <c r="G19" i="1"/>
  <c r="AC28" i="9"/>
  <c r="BE28" i="9" s="1"/>
  <c r="T15" i="10"/>
  <c r="L14" i="10"/>
  <c r="BA13" i="12"/>
  <c r="AY13" i="12"/>
  <c r="BC13" i="12" s="1"/>
  <c r="Z28" i="12"/>
  <c r="Y28" i="12"/>
  <c r="J28" i="12"/>
  <c r="AA28" i="9"/>
  <c r="BF27" i="12"/>
  <c r="AE27" i="12"/>
  <c r="BK13" i="11"/>
  <c r="BM13" i="11" s="1"/>
  <c r="AH14" i="11"/>
  <c r="AI14" i="11"/>
  <c r="AG14" i="11"/>
  <c r="Z29" i="11"/>
  <c r="Y29" i="11"/>
  <c r="J29" i="11"/>
  <c r="AE28" i="11"/>
  <c r="Z28" i="10"/>
  <c r="Y28" i="10"/>
  <c r="J28" i="10"/>
  <c r="BF27" i="10"/>
  <c r="AE27" i="10"/>
  <c r="BG27" i="10"/>
  <c r="BE27" i="10"/>
  <c r="O15" i="10"/>
  <c r="AP14" i="10"/>
  <c r="AT14" i="10" s="1"/>
  <c r="W28" i="9"/>
  <c r="I29" i="9" s="1"/>
  <c r="H27" i="9"/>
  <c r="AX13" i="9"/>
  <c r="BB13" i="9" s="1"/>
  <c r="BJ13" i="9" s="1"/>
  <c r="BG27" i="9"/>
  <c r="AW13" i="9"/>
  <c r="BA13" i="9" s="1"/>
  <c r="AO11" i="1"/>
  <c r="BE11" i="1"/>
  <c r="BF11" i="1"/>
  <c r="Z20" i="1"/>
  <c r="J20" i="1"/>
  <c r="G28" i="9" l="1"/>
  <c r="W28" i="12"/>
  <c r="I29" i="12" s="1"/>
  <c r="H27" i="12"/>
  <c r="BG27" i="12"/>
  <c r="BK13" i="12"/>
  <c r="AG14" i="12"/>
  <c r="AH14" i="12"/>
  <c r="AI14" i="12"/>
  <c r="AA28" i="12"/>
  <c r="AC28" i="12" s="1"/>
  <c r="BE28" i="12" s="1"/>
  <c r="BI13" i="12"/>
  <c r="S15" i="12"/>
  <c r="N15" i="11"/>
  <c r="BO13" i="11"/>
  <c r="BN13" i="11"/>
  <c r="W29" i="11"/>
  <c r="I30" i="11" s="1"/>
  <c r="H28" i="11"/>
  <c r="AO14" i="11"/>
  <c r="BG28" i="11"/>
  <c r="AA29" i="11"/>
  <c r="AD29" i="11" s="1"/>
  <c r="W28" i="10"/>
  <c r="I29" i="10" s="1"/>
  <c r="H27" i="10"/>
  <c r="AA28" i="10"/>
  <c r="AC28" i="10" s="1"/>
  <c r="BE28" i="10" s="1"/>
  <c r="AQ14" i="10"/>
  <c r="AU14" i="10" s="1"/>
  <c r="Q15" i="10"/>
  <c r="M14" i="10"/>
  <c r="BF28" i="9"/>
  <c r="Z29" i="9"/>
  <c r="Y29" i="9"/>
  <c r="J29" i="9"/>
  <c r="BI13" i="9"/>
  <c r="AE28" i="9"/>
  <c r="AY13" i="9"/>
  <c r="BC13" i="9" s="1"/>
  <c r="BG11" i="1"/>
  <c r="AS11" i="1"/>
  <c r="AP11" i="1"/>
  <c r="AT11" i="1" s="1"/>
  <c r="H19" i="1"/>
  <c r="AA20" i="1"/>
  <c r="AD20" i="1" s="1"/>
  <c r="W20" i="1"/>
  <c r="AC29" i="11" l="1"/>
  <c r="BE29" i="11" s="1"/>
  <c r="AD28" i="10"/>
  <c r="AD28" i="12"/>
  <c r="BF28" i="12" s="1"/>
  <c r="G29" i="11"/>
  <c r="AC20" i="1"/>
  <c r="AE20" i="1" s="1"/>
  <c r="G28" i="12"/>
  <c r="G28" i="10"/>
  <c r="L14" i="11"/>
  <c r="BM13" i="12"/>
  <c r="BN13" i="12" s="1"/>
  <c r="BO13" i="12"/>
  <c r="AO14" i="12"/>
  <c r="Z29" i="12"/>
  <c r="Y29" i="12"/>
  <c r="J29" i="12"/>
  <c r="Z30" i="11"/>
  <c r="Y30" i="11"/>
  <c r="J30" i="11"/>
  <c r="AP14" i="11"/>
  <c r="AT14" i="11" s="1"/>
  <c r="AS14" i="11"/>
  <c r="BF29" i="11"/>
  <c r="AE29" i="11"/>
  <c r="BG29" i="11" s="1"/>
  <c r="O15" i="11"/>
  <c r="T15" i="11"/>
  <c r="AE28" i="10"/>
  <c r="BG28" i="10" s="1"/>
  <c r="AX14" i="10"/>
  <c r="BB14" i="10" s="1"/>
  <c r="BJ14" i="10" s="1"/>
  <c r="AW14" i="10"/>
  <c r="BA14" i="10" s="1"/>
  <c r="Z29" i="10"/>
  <c r="Y29" i="10"/>
  <c r="J29" i="10"/>
  <c r="AA29" i="9"/>
  <c r="AC29" i="9" s="1"/>
  <c r="BE29" i="9" s="1"/>
  <c r="BF28" i="10"/>
  <c r="BG28" i="9"/>
  <c r="W29" i="9"/>
  <c r="I30" i="9" s="1"/>
  <c r="H28" i="9"/>
  <c r="BK13" i="9"/>
  <c r="BM13" i="9" s="1"/>
  <c r="AH14" i="9"/>
  <c r="AI14" i="9"/>
  <c r="AG14" i="9"/>
  <c r="S15" i="9"/>
  <c r="AQ11" i="1"/>
  <c r="AU11" i="1" s="1"/>
  <c r="AW11" i="1" s="1"/>
  <c r="BA11" i="1" s="1"/>
  <c r="I21" i="1"/>
  <c r="N15" i="12" l="1"/>
  <c r="L14" i="12" s="1"/>
  <c r="AD29" i="12"/>
  <c r="BF29" i="12" s="1"/>
  <c r="AC29" i="10"/>
  <c r="AD29" i="10"/>
  <c r="BF29" i="10" s="1"/>
  <c r="Y21" i="1"/>
  <c r="G20" i="1"/>
  <c r="AE28" i="12"/>
  <c r="BG28" i="12" s="1"/>
  <c r="AD29" i="9"/>
  <c r="BF29" i="9" s="1"/>
  <c r="G29" i="9"/>
  <c r="AP14" i="12"/>
  <c r="AT14" i="12" s="1"/>
  <c r="AS14" i="12"/>
  <c r="AA29" i="12"/>
  <c r="AC29" i="12" s="1"/>
  <c r="BE29" i="12" s="1"/>
  <c r="W29" i="12"/>
  <c r="I30" i="12" s="1"/>
  <c r="H28" i="12"/>
  <c r="Q15" i="11"/>
  <c r="M14" i="11"/>
  <c r="AQ14" i="11"/>
  <c r="AU14" i="11" s="1"/>
  <c r="AX14" i="11" s="1"/>
  <c r="BB14" i="11" s="1"/>
  <c r="BJ14" i="11" s="1"/>
  <c r="AY14" i="10"/>
  <c r="BC14" i="10" s="1"/>
  <c r="S16" i="10" s="1"/>
  <c r="W30" i="11"/>
  <c r="I31" i="11" s="1"/>
  <c r="H29" i="11"/>
  <c r="AA30" i="11"/>
  <c r="AC30" i="11" s="1"/>
  <c r="BE30" i="11" s="1"/>
  <c r="AA29" i="10"/>
  <c r="BI14" i="10"/>
  <c r="W29" i="10"/>
  <c r="I30" i="10" s="1"/>
  <c r="H28" i="10"/>
  <c r="BE29" i="10"/>
  <c r="BO13" i="9"/>
  <c r="N15" i="9"/>
  <c r="BN13" i="9"/>
  <c r="AO14" i="9"/>
  <c r="Z30" i="9"/>
  <c r="Y30" i="9"/>
  <c r="J30" i="9"/>
  <c r="AX11" i="1"/>
  <c r="BB11" i="1" s="1"/>
  <c r="BJ11" i="1" s="1"/>
  <c r="BI11" i="1"/>
  <c r="Z21" i="1"/>
  <c r="J21" i="1"/>
  <c r="O15" i="12" l="1"/>
  <c r="T15" i="12"/>
  <c r="G29" i="12"/>
  <c r="G30" i="11"/>
  <c r="G29" i="10"/>
  <c r="AC21" i="1"/>
  <c r="AE29" i="9"/>
  <c r="BG29" i="9" s="1"/>
  <c r="AD30" i="11"/>
  <c r="AG15" i="10"/>
  <c r="AO15" i="10" s="1"/>
  <c r="L14" i="9"/>
  <c r="AW14" i="11"/>
  <c r="BA14" i="11" s="1"/>
  <c r="BI14" i="11" s="1"/>
  <c r="AI15" i="10"/>
  <c r="AH15" i="10"/>
  <c r="BK14" i="10"/>
  <c r="BM14" i="10" s="1"/>
  <c r="AQ14" i="12"/>
  <c r="AU14" i="12" s="1"/>
  <c r="AX14" i="12" s="1"/>
  <c r="BB14" i="12" s="1"/>
  <c r="BJ14" i="12" s="1"/>
  <c r="Z30" i="12"/>
  <c r="Y30" i="12"/>
  <c r="J30" i="12"/>
  <c r="Q15" i="12"/>
  <c r="M14" i="12"/>
  <c r="AE29" i="12"/>
  <c r="BG29" i="12" s="1"/>
  <c r="BF30" i="11"/>
  <c r="AE30" i="11"/>
  <c r="BG30" i="11" s="1"/>
  <c r="Z31" i="11"/>
  <c r="Y31" i="11"/>
  <c r="J31" i="11"/>
  <c r="Z30" i="10"/>
  <c r="Y30" i="10"/>
  <c r="J30" i="10"/>
  <c r="AE29" i="10"/>
  <c r="O15" i="9"/>
  <c r="AP14" i="9"/>
  <c r="AT14" i="9" s="1"/>
  <c r="W30" i="9"/>
  <c r="I31" i="9" s="1"/>
  <c r="H29" i="9"/>
  <c r="AS14" i="9"/>
  <c r="AA30" i="9"/>
  <c r="AC30" i="9" s="1"/>
  <c r="BE30" i="9" s="1"/>
  <c r="T15" i="9"/>
  <c r="AY11" i="1"/>
  <c r="BC11" i="1" s="1"/>
  <c r="S11" i="1"/>
  <c r="H20" i="1"/>
  <c r="AA21" i="1"/>
  <c r="AD21" i="1" s="1"/>
  <c r="W21" i="1"/>
  <c r="AE21" i="1" l="1"/>
  <c r="AY14" i="11"/>
  <c r="BC14" i="11" s="1"/>
  <c r="AG15" i="11" s="1"/>
  <c r="G30" i="9"/>
  <c r="AD30" i="9"/>
  <c r="BF30" i="9" s="1"/>
  <c r="N16" i="10"/>
  <c r="O16" i="10" s="1"/>
  <c r="BO14" i="10"/>
  <c r="BN14" i="10"/>
  <c r="AA30" i="10"/>
  <c r="AD30" i="10" s="1"/>
  <c r="BF30" i="10" s="1"/>
  <c r="W30" i="12"/>
  <c r="I31" i="12" s="1"/>
  <c r="H29" i="12"/>
  <c r="AA30" i="12"/>
  <c r="AC30" i="12" s="1"/>
  <c r="AW14" i="12"/>
  <c r="BA14" i="12" s="1"/>
  <c r="AA31" i="11"/>
  <c r="AD31" i="11" s="1"/>
  <c r="BF31" i="11" s="1"/>
  <c r="BK14" i="11"/>
  <c r="BM14" i="11" s="1"/>
  <c r="AH15" i="11"/>
  <c r="AI15" i="11"/>
  <c r="W31" i="11"/>
  <c r="I32" i="11" s="1"/>
  <c r="H30" i="11"/>
  <c r="S16" i="11"/>
  <c r="AP15" i="10"/>
  <c r="AT15" i="10" s="1"/>
  <c r="AS15" i="10"/>
  <c r="W30" i="10"/>
  <c r="I31" i="10" s="1"/>
  <c r="H29" i="10"/>
  <c r="BG29" i="10"/>
  <c r="Q15" i="9"/>
  <c r="M14" i="9"/>
  <c r="AQ14" i="9"/>
  <c r="AU14" i="9" s="1"/>
  <c r="AE30" i="9"/>
  <c r="Y31" i="9"/>
  <c r="Z31" i="9"/>
  <c r="J31" i="9"/>
  <c r="BK11" i="1"/>
  <c r="BM11" i="1" s="1"/>
  <c r="BN11" i="1" s="1"/>
  <c r="AI12" i="1"/>
  <c r="AG12" i="1"/>
  <c r="AH12" i="1"/>
  <c r="N11" i="1"/>
  <c r="I22" i="1"/>
  <c r="AC31" i="11" l="1"/>
  <c r="AC30" i="10"/>
  <c r="BE30" i="10" s="1"/>
  <c r="G30" i="10"/>
  <c r="G31" i="11"/>
  <c r="AD30" i="12"/>
  <c r="BF30" i="12" s="1"/>
  <c r="AA31" i="9"/>
  <c r="AD31" i="9" s="1"/>
  <c r="BF31" i="9" s="1"/>
  <c r="G30" i="12"/>
  <c r="G21" i="1"/>
  <c r="L10" i="1"/>
  <c r="T16" i="10"/>
  <c r="L15" i="10"/>
  <c r="AQ15" i="10"/>
  <c r="AU15" i="10" s="1"/>
  <c r="AW15" i="10" s="1"/>
  <c r="BA15" i="10" s="1"/>
  <c r="Z31" i="12"/>
  <c r="Y31" i="12"/>
  <c r="J31" i="12"/>
  <c r="AY14" i="12"/>
  <c r="BC14" i="12" s="1"/>
  <c r="S16" i="12" s="1"/>
  <c r="BI14" i="12"/>
  <c r="BE30" i="12"/>
  <c r="N16" i="11"/>
  <c r="BO14" i="11"/>
  <c r="BN14" i="11"/>
  <c r="AE31" i="11"/>
  <c r="AO15" i="11"/>
  <c r="Z32" i="11"/>
  <c r="Y32" i="11"/>
  <c r="J32" i="11"/>
  <c r="BE31" i="11"/>
  <c r="Z31" i="10"/>
  <c r="Y31" i="10"/>
  <c r="J31" i="10"/>
  <c r="Q16" i="10"/>
  <c r="M15" i="10"/>
  <c r="AW14" i="9"/>
  <c r="BA14" i="9" s="1"/>
  <c r="AX14" i="9"/>
  <c r="BB14" i="9" s="1"/>
  <c r="BJ14" i="9" s="1"/>
  <c r="W31" i="9"/>
  <c r="I32" i="9" s="1"/>
  <c r="H30" i="9"/>
  <c r="BG30" i="9"/>
  <c r="BO11" i="1"/>
  <c r="O11" i="1"/>
  <c r="T11" i="1"/>
  <c r="Y22" i="1"/>
  <c r="Z22" i="1"/>
  <c r="J22" i="1"/>
  <c r="AX15" i="10" l="1"/>
  <c r="BB15" i="10" s="1"/>
  <c r="BJ15" i="10" s="1"/>
  <c r="AC31" i="9"/>
  <c r="BE31" i="9" s="1"/>
  <c r="G31" i="9"/>
  <c r="AA31" i="12"/>
  <c r="AD31" i="12" s="1"/>
  <c r="BF31" i="12" s="1"/>
  <c r="AC31" i="12"/>
  <c r="BE31" i="12" s="1"/>
  <c r="AD22" i="1"/>
  <c r="AA31" i="10"/>
  <c r="AC31" i="10" s="1"/>
  <c r="BE31" i="10" s="1"/>
  <c r="AD32" i="11"/>
  <c r="AD31" i="10"/>
  <c r="BF31" i="10" s="1"/>
  <c r="AE30" i="12"/>
  <c r="BG30" i="12" s="1"/>
  <c r="AE30" i="10"/>
  <c r="BG30" i="10" s="1"/>
  <c r="T16" i="11"/>
  <c r="L15" i="11"/>
  <c r="W31" i="12"/>
  <c r="I32" i="12" s="1"/>
  <c r="H30" i="12"/>
  <c r="BK14" i="12"/>
  <c r="BM14" i="12" s="1"/>
  <c r="AH15" i="12"/>
  <c r="AG15" i="12"/>
  <c r="AI15" i="12"/>
  <c r="W32" i="11"/>
  <c r="I33" i="11" s="1"/>
  <c r="H31" i="11"/>
  <c r="AP15" i="11"/>
  <c r="AT15" i="11" s="1"/>
  <c r="AS15" i="11"/>
  <c r="BF32" i="11"/>
  <c r="AA32" i="11"/>
  <c r="AC32" i="11" s="1"/>
  <c r="BE32" i="11" s="1"/>
  <c r="BG31" i="11"/>
  <c r="O16" i="11"/>
  <c r="BI15" i="10"/>
  <c r="W31" i="10"/>
  <c r="I32" i="10" s="1"/>
  <c r="H30" i="10"/>
  <c r="AY15" i="10"/>
  <c r="BC15" i="10" s="1"/>
  <c r="Y32" i="9"/>
  <c r="Z32" i="9"/>
  <c r="J32" i="9"/>
  <c r="AE31" i="9"/>
  <c r="AY14" i="9"/>
  <c r="BC14" i="9" s="1"/>
  <c r="S16" i="9" s="1"/>
  <c r="BI14" i="9"/>
  <c r="M10" i="1"/>
  <c r="Q11" i="1"/>
  <c r="H21" i="1"/>
  <c r="AA22" i="1"/>
  <c r="AC22" i="1" s="1"/>
  <c r="AE22" i="1" s="1"/>
  <c r="W22" i="1"/>
  <c r="G31" i="10" l="1"/>
  <c r="G31" i="12"/>
  <c r="G32" i="11"/>
  <c r="N16" i="12"/>
  <c r="BO14" i="12"/>
  <c r="BN14" i="12"/>
  <c r="AE31" i="12"/>
  <c r="AO15" i="12"/>
  <c r="Z32" i="12"/>
  <c r="Y32" i="12"/>
  <c r="J32" i="12"/>
  <c r="Q16" i="11"/>
  <c r="M15" i="11"/>
  <c r="AE32" i="11"/>
  <c r="AQ15" i="11"/>
  <c r="AU15" i="11" s="1"/>
  <c r="AW15" i="11" s="1"/>
  <c r="BA15" i="11" s="1"/>
  <c r="Y33" i="11"/>
  <c r="Z33" i="11"/>
  <c r="J33" i="11"/>
  <c r="Z32" i="10"/>
  <c r="Y32" i="10"/>
  <c r="J32" i="10"/>
  <c r="AE31" i="10"/>
  <c r="BK15" i="10"/>
  <c r="BM15" i="10" s="1"/>
  <c r="AI16" i="10"/>
  <c r="AH16" i="10"/>
  <c r="AG16" i="10"/>
  <c r="S17" i="10"/>
  <c r="W32" i="9"/>
  <c r="I33" i="9" s="1"/>
  <c r="H31" i="9"/>
  <c r="BK14" i="9"/>
  <c r="BM14" i="9" s="1"/>
  <c r="AH15" i="9"/>
  <c r="AG15" i="9"/>
  <c r="AI15" i="9"/>
  <c r="AA32" i="9"/>
  <c r="AD32" i="9" s="1"/>
  <c r="BF32" i="9" s="1"/>
  <c r="BG31" i="9"/>
  <c r="BG12" i="1"/>
  <c r="BF12" i="1"/>
  <c r="BE12" i="1"/>
  <c r="I23" i="1"/>
  <c r="AA33" i="11" l="1"/>
  <c r="AD33" i="11"/>
  <c r="AC32" i="9"/>
  <c r="Y23" i="1"/>
  <c r="G22" i="1"/>
  <c r="AC33" i="11"/>
  <c r="BE33" i="11" s="1"/>
  <c r="AA32" i="12"/>
  <c r="AD32" i="12" s="1"/>
  <c r="BF32" i="12" s="1"/>
  <c r="AC32" i="12"/>
  <c r="G32" i="9"/>
  <c r="AC32" i="10"/>
  <c r="BE32" i="10" s="1"/>
  <c r="L15" i="12"/>
  <c r="W32" i="12"/>
  <c r="I33" i="12" s="1"/>
  <c r="H31" i="12"/>
  <c r="BE32" i="12"/>
  <c r="AP15" i="12"/>
  <c r="AT15" i="12" s="1"/>
  <c r="AS15" i="12"/>
  <c r="BG31" i="12"/>
  <c r="O16" i="12"/>
  <c r="T16" i="12"/>
  <c r="W33" i="11"/>
  <c r="I34" i="11" s="1"/>
  <c r="H32" i="11"/>
  <c r="BI15" i="11"/>
  <c r="BG32" i="11"/>
  <c r="AX15" i="11"/>
  <c r="BB15" i="11" s="1"/>
  <c r="BO15" i="10"/>
  <c r="N17" i="10"/>
  <c r="BN15" i="10"/>
  <c r="BG31" i="10"/>
  <c r="AA32" i="10"/>
  <c r="AD32" i="10" s="1"/>
  <c r="W32" i="10"/>
  <c r="I33" i="10" s="1"/>
  <c r="H31" i="10"/>
  <c r="AO16" i="10"/>
  <c r="AO15" i="9"/>
  <c r="N16" i="9"/>
  <c r="BO14" i="9"/>
  <c r="BN14" i="9"/>
  <c r="AE32" i="9"/>
  <c r="BE32" i="9"/>
  <c r="Y33" i="9"/>
  <c r="Z33" i="9"/>
  <c r="J33" i="9"/>
  <c r="AO12" i="1"/>
  <c r="AS12" i="1" s="1"/>
  <c r="Z23" i="1"/>
  <c r="J23" i="1"/>
  <c r="G32" i="10" l="1"/>
  <c r="G32" i="12"/>
  <c r="G33" i="11"/>
  <c r="L16" i="10"/>
  <c r="L15" i="9"/>
  <c r="AQ15" i="12"/>
  <c r="AU15" i="12" s="1"/>
  <c r="AX15" i="12" s="1"/>
  <c r="BB15" i="12" s="1"/>
  <c r="BJ15" i="12" s="1"/>
  <c r="Q16" i="12"/>
  <c r="M15" i="12"/>
  <c r="AE32" i="12"/>
  <c r="Z33" i="12"/>
  <c r="Y33" i="12"/>
  <c r="J33" i="12"/>
  <c r="BF33" i="11"/>
  <c r="AE33" i="11"/>
  <c r="BJ15" i="11"/>
  <c r="Z34" i="11"/>
  <c r="Y34" i="11"/>
  <c r="J34" i="11"/>
  <c r="AY15" i="11"/>
  <c r="BC15" i="11" s="1"/>
  <c r="Z33" i="10"/>
  <c r="Y33" i="10"/>
  <c r="J33" i="10"/>
  <c r="O17" i="10"/>
  <c r="AE32" i="10"/>
  <c r="AP16" i="10"/>
  <c r="AT16" i="10" s="1"/>
  <c r="AS16" i="10"/>
  <c r="T17" i="10"/>
  <c r="BF32" i="10"/>
  <c r="O16" i="9"/>
  <c r="T16" i="9"/>
  <c r="AA33" i="9"/>
  <c r="AD33" i="9" s="1"/>
  <c r="BF33" i="9" s="1"/>
  <c r="AP15" i="9"/>
  <c r="AT15" i="9" s="1"/>
  <c r="AS15" i="9"/>
  <c r="W33" i="9"/>
  <c r="I34" i="9" s="1"/>
  <c r="H32" i="9"/>
  <c r="BG32" i="9"/>
  <c r="AP12" i="1"/>
  <c r="AT12" i="1" s="1"/>
  <c r="H22" i="1"/>
  <c r="AA23" i="1"/>
  <c r="AC23" i="1" s="1"/>
  <c r="W23" i="1"/>
  <c r="AC33" i="12" l="1"/>
  <c r="BE33" i="12" s="1"/>
  <c r="AC33" i="9"/>
  <c r="BE33" i="9" s="1"/>
  <c r="AD23" i="1"/>
  <c r="AE23" i="1" s="1"/>
  <c r="G33" i="9"/>
  <c r="AD33" i="12"/>
  <c r="AA34" i="11"/>
  <c r="AD34" i="11" s="1"/>
  <c r="BF34" i="11" s="1"/>
  <c r="AC34" i="11"/>
  <c r="AW15" i="12"/>
  <c r="BA15" i="12" s="1"/>
  <c r="BI15" i="12" s="1"/>
  <c r="BF33" i="12"/>
  <c r="W33" i="12"/>
  <c r="I34" i="12" s="1"/>
  <c r="H32" i="12"/>
  <c r="AA33" i="12"/>
  <c r="BG32" i="12"/>
  <c r="AQ16" i="10"/>
  <c r="AU16" i="10" s="1"/>
  <c r="AW16" i="10" s="1"/>
  <c r="BA16" i="10" s="1"/>
  <c r="BK15" i="11"/>
  <c r="BM15" i="11" s="1"/>
  <c r="AH16" i="11"/>
  <c r="AI16" i="11"/>
  <c r="AG16" i="11"/>
  <c r="S17" i="11"/>
  <c r="BG33" i="11"/>
  <c r="W34" i="11"/>
  <c r="I35" i="11" s="1"/>
  <c r="H33" i="11"/>
  <c r="BE34" i="11"/>
  <c r="W33" i="10"/>
  <c r="I34" i="10" s="1"/>
  <c r="H32" i="10"/>
  <c r="AA33" i="10"/>
  <c r="AC33" i="10" s="1"/>
  <c r="BE33" i="10" s="1"/>
  <c r="Q17" i="10"/>
  <c r="M16" i="10"/>
  <c r="BG32" i="10"/>
  <c r="AE33" i="9"/>
  <c r="Y34" i="9"/>
  <c r="Z34" i="9"/>
  <c r="J34" i="9"/>
  <c r="Q16" i="9"/>
  <c r="M15" i="9"/>
  <c r="AQ15" i="9"/>
  <c r="AU15" i="9" s="1"/>
  <c r="AX15" i="9" s="1"/>
  <c r="BB15" i="9" s="1"/>
  <c r="BJ15" i="9" s="1"/>
  <c r="AQ12" i="1"/>
  <c r="AU12" i="1" s="1"/>
  <c r="AW12" i="1" s="1"/>
  <c r="BA12" i="1" s="1"/>
  <c r="BI12" i="1" s="1"/>
  <c r="S12" i="1"/>
  <c r="I24" i="1"/>
  <c r="G33" i="12" l="1"/>
  <c r="AD33" i="10"/>
  <c r="BF33" i="10" s="1"/>
  <c r="G34" i="11"/>
  <c r="Y24" i="1"/>
  <c r="G23" i="1"/>
  <c r="G33" i="10"/>
  <c r="AY15" i="12"/>
  <c r="BC15" i="12" s="1"/>
  <c r="AX16" i="10"/>
  <c r="BB16" i="10" s="1"/>
  <c r="BJ16" i="10" s="1"/>
  <c r="Z34" i="12"/>
  <c r="Y34" i="12"/>
  <c r="J34" i="12"/>
  <c r="AE33" i="12"/>
  <c r="N17" i="11"/>
  <c r="BO15" i="11"/>
  <c r="BN15" i="11"/>
  <c r="AO16" i="11"/>
  <c r="Y35" i="11"/>
  <c r="Z35" i="11"/>
  <c r="J35" i="11"/>
  <c r="AW15" i="9"/>
  <c r="BA15" i="9" s="1"/>
  <c r="BI15" i="9" s="1"/>
  <c r="AE34" i="11"/>
  <c r="Z34" i="10"/>
  <c r="Y34" i="10"/>
  <c r="J34" i="10"/>
  <c r="BI16" i="10"/>
  <c r="AE33" i="10"/>
  <c r="AA34" i="9"/>
  <c r="AC34" i="9" s="1"/>
  <c r="BE34" i="9" s="1"/>
  <c r="BG33" i="9"/>
  <c r="W34" i="9"/>
  <c r="I35" i="9" s="1"/>
  <c r="H33" i="9"/>
  <c r="AX12" i="1"/>
  <c r="BB12" i="1" s="1"/>
  <c r="BJ12" i="1" s="1"/>
  <c r="N12" i="1"/>
  <c r="Z24" i="1"/>
  <c r="J24" i="1"/>
  <c r="G34" i="9" l="1"/>
  <c r="AA34" i="12"/>
  <c r="AD34" i="12" s="1"/>
  <c r="AC34" i="12"/>
  <c r="AC24" i="1"/>
  <c r="AY16" i="10"/>
  <c r="BC16" i="10" s="1"/>
  <c r="AH17" i="10" s="1"/>
  <c r="AD34" i="9"/>
  <c r="BF34" i="9" s="1"/>
  <c r="BK15" i="12"/>
  <c r="BM15" i="12" s="1"/>
  <c r="AH16" i="12"/>
  <c r="S17" i="12"/>
  <c r="AI16" i="12"/>
  <c r="AG16" i="12"/>
  <c r="AO16" i="12" s="1"/>
  <c r="AS16" i="12" s="1"/>
  <c r="T17" i="11"/>
  <c r="L16" i="11"/>
  <c r="L11" i="1"/>
  <c r="BK16" i="10"/>
  <c r="BM16" i="10" s="1"/>
  <c r="BO16" i="10" s="1"/>
  <c r="S18" i="10"/>
  <c r="W34" i="12"/>
  <c r="I35" i="12" s="1"/>
  <c r="H33" i="12"/>
  <c r="BE34" i="12"/>
  <c r="AG17" i="10"/>
  <c r="AO17" i="10" s="1"/>
  <c r="AI17" i="10"/>
  <c r="BG33" i="12"/>
  <c r="AP16" i="11"/>
  <c r="AT16" i="11" s="1"/>
  <c r="AY15" i="9"/>
  <c r="BC15" i="9" s="1"/>
  <c r="S17" i="9" s="1"/>
  <c r="AS16" i="11"/>
  <c r="W35" i="11"/>
  <c r="I36" i="11" s="1"/>
  <c r="H34" i="11"/>
  <c r="BG34" i="11"/>
  <c r="AA35" i="11"/>
  <c r="AD35" i="11" s="1"/>
  <c r="BF35" i="11" s="1"/>
  <c r="O17" i="11"/>
  <c r="BG33" i="10"/>
  <c r="W34" i="10"/>
  <c r="I35" i="10" s="1"/>
  <c r="H33" i="10"/>
  <c r="AA34" i="10"/>
  <c r="AC34" i="10" s="1"/>
  <c r="BE34" i="10" s="1"/>
  <c r="Y35" i="9"/>
  <c r="Z35" i="9"/>
  <c r="J35" i="9"/>
  <c r="AE34" i="9"/>
  <c r="BG34" i="9" s="1"/>
  <c r="AA24" i="1"/>
  <c r="AD24" i="1" s="1"/>
  <c r="AY12" i="1"/>
  <c r="BC12" i="1" s="1"/>
  <c r="T12" i="1"/>
  <c r="O12" i="1"/>
  <c r="H23" i="1"/>
  <c r="W24" i="1"/>
  <c r="AE24" i="1" l="1"/>
  <c r="AC35" i="11"/>
  <c r="BE35" i="11" s="1"/>
  <c r="G34" i="12"/>
  <c r="G34" i="10"/>
  <c r="G35" i="11"/>
  <c r="AD34" i="10"/>
  <c r="BF34" i="10" s="1"/>
  <c r="AC35" i="9"/>
  <c r="AP16" i="12"/>
  <c r="AT16" i="12" s="1"/>
  <c r="N17" i="12"/>
  <c r="BO15" i="12"/>
  <c r="BN15" i="12"/>
  <c r="AH16" i="9"/>
  <c r="BN16" i="10"/>
  <c r="N18" i="10"/>
  <c r="L17" i="10" s="1"/>
  <c r="BK15" i="9"/>
  <c r="BM15" i="9" s="1"/>
  <c r="N17" i="9" s="1"/>
  <c r="Z35" i="12"/>
  <c r="Y35" i="12"/>
  <c r="J35" i="12"/>
  <c r="AQ16" i="12"/>
  <c r="AU16" i="12" s="1"/>
  <c r="AW16" i="12" s="1"/>
  <c r="BA16" i="12" s="1"/>
  <c r="AE34" i="12"/>
  <c r="AA35" i="9"/>
  <c r="AD35" i="9" s="1"/>
  <c r="BF35" i="9" s="1"/>
  <c r="BF34" i="12"/>
  <c r="Z36" i="11"/>
  <c r="Y36" i="11"/>
  <c r="J36" i="11"/>
  <c r="AQ16" i="11"/>
  <c r="AU16" i="11" s="1"/>
  <c r="AX16" i="11" s="1"/>
  <c r="BB16" i="11" s="1"/>
  <c r="BJ16" i="11" s="1"/>
  <c r="AI16" i="9"/>
  <c r="Q17" i="11"/>
  <c r="M16" i="11"/>
  <c r="AG16" i="9"/>
  <c r="AO16" i="9" s="1"/>
  <c r="AS16" i="9" s="1"/>
  <c r="AP17" i="10"/>
  <c r="AT17" i="10" s="1"/>
  <c r="Z35" i="10"/>
  <c r="Y35" i="10"/>
  <c r="J35" i="10"/>
  <c r="AE34" i="10"/>
  <c r="AS17" i="10"/>
  <c r="W35" i="9"/>
  <c r="I36" i="9" s="1"/>
  <c r="H34" i="9"/>
  <c r="BE35" i="9"/>
  <c r="BK12" i="1"/>
  <c r="BM12" i="1" s="1"/>
  <c r="BO12" i="1" s="1"/>
  <c r="AI13" i="1"/>
  <c r="AG13" i="1"/>
  <c r="AH13" i="1"/>
  <c r="Q12" i="1"/>
  <c r="M11" i="1"/>
  <c r="I25" i="1"/>
  <c r="AA35" i="12" l="1"/>
  <c r="AC35" i="12"/>
  <c r="AD35" i="12"/>
  <c r="Y25" i="1"/>
  <c r="G24" i="1"/>
  <c r="G35" i="9"/>
  <c r="AE35" i="11"/>
  <c r="BG35" i="11" s="1"/>
  <c r="L16" i="12"/>
  <c r="T17" i="12"/>
  <c r="O17" i="12"/>
  <c r="BO15" i="9"/>
  <c r="T18" i="10"/>
  <c r="O18" i="10"/>
  <c r="Q18" i="10" s="1"/>
  <c r="L16" i="9"/>
  <c r="BN15" i="9"/>
  <c r="BF35" i="12"/>
  <c r="AQ17" i="10"/>
  <c r="AU17" i="10" s="1"/>
  <c r="AX17" i="10" s="1"/>
  <c r="BB17" i="10" s="1"/>
  <c r="BJ17" i="10" s="1"/>
  <c r="BG34" i="12"/>
  <c r="BI16" i="12"/>
  <c r="W35" i="12"/>
  <c r="I36" i="12" s="1"/>
  <c r="H34" i="12"/>
  <c r="AX16" i="12"/>
  <c r="BB16" i="12" s="1"/>
  <c r="AA35" i="10"/>
  <c r="AD35" i="10" s="1"/>
  <c r="BF35" i="10" s="1"/>
  <c r="W36" i="11"/>
  <c r="I37" i="11" s="1"/>
  <c r="H35" i="11"/>
  <c r="AW16" i="11"/>
  <c r="AA36" i="11"/>
  <c r="AC36" i="11" s="1"/>
  <c r="BE36" i="11" s="1"/>
  <c r="BG34" i="10"/>
  <c r="W35" i="10"/>
  <c r="I36" i="10" s="1"/>
  <c r="H34" i="10"/>
  <c r="Z36" i="9"/>
  <c r="Y36" i="9"/>
  <c r="J36" i="9"/>
  <c r="AE35" i="9"/>
  <c r="AP16" i="9"/>
  <c r="AT16" i="9" s="1"/>
  <c r="O17" i="9"/>
  <c r="T17" i="9"/>
  <c r="BN12" i="1"/>
  <c r="BG13" i="1"/>
  <c r="AO13" i="1"/>
  <c r="BE13" i="1"/>
  <c r="BF13" i="1"/>
  <c r="Z25" i="1"/>
  <c r="J25" i="1"/>
  <c r="G35" i="10" l="1"/>
  <c r="G36" i="11"/>
  <c r="AC35" i="10"/>
  <c r="BE35" i="10" s="1"/>
  <c r="AD25" i="1"/>
  <c r="AD36" i="11"/>
  <c r="G35" i="12"/>
  <c r="M17" i="10"/>
  <c r="Q17" i="12"/>
  <c r="M16" i="12"/>
  <c r="AW17" i="10"/>
  <c r="BA17" i="10" s="1"/>
  <c r="Z36" i="12"/>
  <c r="Y36" i="12"/>
  <c r="J36" i="12"/>
  <c r="BJ16" i="12"/>
  <c r="AY16" i="12"/>
  <c r="BC16" i="12" s="1"/>
  <c r="S18" i="12" s="1"/>
  <c r="AE35" i="12"/>
  <c r="BE35" i="12"/>
  <c r="AE36" i="11"/>
  <c r="BG36" i="11" s="1"/>
  <c r="Z37" i="11"/>
  <c r="Y37" i="11"/>
  <c r="J37" i="11"/>
  <c r="BA16" i="11"/>
  <c r="AY16" i="11"/>
  <c r="BC16" i="11" s="1"/>
  <c r="BF36" i="11"/>
  <c r="Z36" i="10"/>
  <c r="Y36" i="10"/>
  <c r="J36" i="10"/>
  <c r="AE35" i="10"/>
  <c r="BI17" i="10"/>
  <c r="Q17" i="9"/>
  <c r="M16" i="9"/>
  <c r="BG35" i="9"/>
  <c r="W36" i="9"/>
  <c r="I37" i="9" s="1"/>
  <c r="H35" i="9"/>
  <c r="AA36" i="9"/>
  <c r="AD36" i="9" s="1"/>
  <c r="BF36" i="9" s="1"/>
  <c r="AQ16" i="9"/>
  <c r="AU16" i="9" s="1"/>
  <c r="AS13" i="1"/>
  <c r="AP13" i="1"/>
  <c r="AT13" i="1" s="1"/>
  <c r="H24" i="1"/>
  <c r="AA25" i="1"/>
  <c r="AC25" i="1" s="1"/>
  <c r="AE25" i="1" s="1"/>
  <c r="W25" i="1"/>
  <c r="AC36" i="9" l="1"/>
  <c r="BE36" i="9" s="1"/>
  <c r="G36" i="9"/>
  <c r="AC36" i="12"/>
  <c r="BE36" i="12" s="1"/>
  <c r="AD37" i="11"/>
  <c r="BF37" i="11" s="1"/>
  <c r="AY17" i="10"/>
  <c r="BC17" i="10" s="1"/>
  <c r="BK17" i="10" s="1"/>
  <c r="AI18" i="10"/>
  <c r="AG18" i="10"/>
  <c r="AO18" i="10" s="1"/>
  <c r="BG35" i="12"/>
  <c r="AA36" i="12"/>
  <c r="AD36" i="12" s="1"/>
  <c r="BF36" i="12" s="1"/>
  <c r="BK16" i="12"/>
  <c r="BM16" i="12" s="1"/>
  <c r="AH17" i="12"/>
  <c r="AI17" i="12"/>
  <c r="AG17" i="12"/>
  <c r="W36" i="12"/>
  <c r="I37" i="12" s="1"/>
  <c r="H35" i="12"/>
  <c r="W37" i="11"/>
  <c r="I38" i="11" s="1"/>
  <c r="H36" i="11"/>
  <c r="AA37" i="11"/>
  <c r="AC37" i="11" s="1"/>
  <c r="BE37" i="11" s="1"/>
  <c r="BK16" i="11"/>
  <c r="AH17" i="11"/>
  <c r="AI17" i="11"/>
  <c r="AG17" i="11"/>
  <c r="BM17" i="10"/>
  <c r="BO17" i="10" s="1"/>
  <c r="S18" i="11"/>
  <c r="BI16" i="11"/>
  <c r="W36" i="10"/>
  <c r="I37" i="10" s="1"/>
  <c r="H35" i="10"/>
  <c r="AX16" i="9"/>
  <c r="BB16" i="9" s="1"/>
  <c r="BJ16" i="9" s="1"/>
  <c r="AW16" i="9"/>
  <c r="BA16" i="9" s="1"/>
  <c r="BI16" i="9" s="1"/>
  <c r="AA36" i="10"/>
  <c r="AD36" i="10" s="1"/>
  <c r="BF36" i="10" s="1"/>
  <c r="BG35" i="10"/>
  <c r="Z37" i="9"/>
  <c r="Y37" i="9"/>
  <c r="J37" i="9"/>
  <c r="AE36" i="9"/>
  <c r="BG36" i="9" s="1"/>
  <c r="AQ13" i="1"/>
  <c r="AU13" i="1" s="1"/>
  <c r="AX13" i="1" s="1"/>
  <c r="BB13" i="1" s="1"/>
  <c r="BJ13" i="1" s="1"/>
  <c r="I26" i="1"/>
  <c r="AH18" i="10" l="1"/>
  <c r="S19" i="10"/>
  <c r="G36" i="12"/>
  <c r="Y26" i="1"/>
  <c r="G25" i="1"/>
  <c r="G36" i="10"/>
  <c r="G37" i="11"/>
  <c r="AC36" i="10"/>
  <c r="BE36" i="10" s="1"/>
  <c r="N18" i="12"/>
  <c r="BO16" i="12"/>
  <c r="BN16" i="12"/>
  <c r="AO17" i="12"/>
  <c r="Z37" i="12"/>
  <c r="Y37" i="12"/>
  <c r="J37" i="12"/>
  <c r="BN17" i="10"/>
  <c r="AE36" i="12"/>
  <c r="BG36" i="12" s="1"/>
  <c r="N19" i="10"/>
  <c r="BM16" i="11"/>
  <c r="N18" i="11" s="1"/>
  <c r="AO17" i="11"/>
  <c r="AE37" i="11"/>
  <c r="Z38" i="11"/>
  <c r="Y38" i="11"/>
  <c r="J38" i="11"/>
  <c r="AA37" i="9"/>
  <c r="AC37" i="9" s="1"/>
  <c r="BE37" i="9" s="1"/>
  <c r="Z37" i="10"/>
  <c r="Y37" i="10"/>
  <c r="J37" i="10"/>
  <c r="AP18" i="10"/>
  <c r="AT18" i="10" s="1"/>
  <c r="AY16" i="9"/>
  <c r="BC16" i="9" s="1"/>
  <c r="AS18" i="10"/>
  <c r="AE36" i="10"/>
  <c r="W37" i="9"/>
  <c r="I38" i="9" s="1"/>
  <c r="H36" i="9"/>
  <c r="AW13" i="1"/>
  <c r="BA13" i="1" s="1"/>
  <c r="BI13" i="1" s="1"/>
  <c r="S13" i="1"/>
  <c r="Z26" i="1"/>
  <c r="J26" i="1"/>
  <c r="AD37" i="9" l="1"/>
  <c r="BF37" i="9" s="1"/>
  <c r="G37" i="9"/>
  <c r="BN16" i="11"/>
  <c r="BO16" i="11"/>
  <c r="T19" i="10"/>
  <c r="L18" i="10"/>
  <c r="L17" i="11"/>
  <c r="L17" i="12"/>
  <c r="O19" i="10"/>
  <c r="Q19" i="10" s="1"/>
  <c r="AP17" i="12"/>
  <c r="AT17" i="12" s="1"/>
  <c r="W37" i="12"/>
  <c r="I38" i="12" s="1"/>
  <c r="H36" i="12"/>
  <c r="AS17" i="12"/>
  <c r="AA37" i="12"/>
  <c r="AC37" i="12" s="1"/>
  <c r="BE37" i="12" s="1"/>
  <c r="O18" i="12"/>
  <c r="T18" i="12"/>
  <c r="AP17" i="11"/>
  <c r="AT17" i="11" s="1"/>
  <c r="O18" i="11"/>
  <c r="BG37" i="11"/>
  <c r="AS17" i="11"/>
  <c r="AA38" i="11"/>
  <c r="AD38" i="11" s="1"/>
  <c r="BF38" i="11" s="1"/>
  <c r="W38" i="11"/>
  <c r="I39" i="11" s="1"/>
  <c r="H37" i="11"/>
  <c r="T18" i="11"/>
  <c r="BG36" i="10"/>
  <c r="BK16" i="9"/>
  <c r="BM16" i="9" s="1"/>
  <c r="AH17" i="9"/>
  <c r="AA37" i="10"/>
  <c r="AC37" i="10" s="1"/>
  <c r="BE37" i="10" s="1"/>
  <c r="W37" i="10"/>
  <c r="I38" i="10" s="1"/>
  <c r="H36" i="10"/>
  <c r="S18" i="9"/>
  <c r="AQ18" i="10"/>
  <c r="AU18" i="10" s="1"/>
  <c r="AX18" i="10" s="1"/>
  <c r="BB18" i="10" s="1"/>
  <c r="BJ18" i="10" s="1"/>
  <c r="AG17" i="9"/>
  <c r="AO17" i="9" s="1"/>
  <c r="AI17" i="9"/>
  <c r="AE37" i="9"/>
  <c r="Y38" i="9"/>
  <c r="Z38" i="9"/>
  <c r="J38" i="9"/>
  <c r="AY13" i="1"/>
  <c r="BC13" i="1" s="1"/>
  <c r="N13" i="1"/>
  <c r="H25" i="1"/>
  <c r="W26" i="1"/>
  <c r="AA26" i="1"/>
  <c r="AD26" i="1" s="1"/>
  <c r="AC38" i="11" l="1"/>
  <c r="BE38" i="11" s="1"/>
  <c r="G37" i="12"/>
  <c r="G37" i="10"/>
  <c r="G38" i="11"/>
  <c r="AD37" i="10"/>
  <c r="BF37" i="10" s="1"/>
  <c r="AD37" i="12"/>
  <c r="BF37" i="12" s="1"/>
  <c r="AC26" i="1"/>
  <c r="AE26" i="1" s="1"/>
  <c r="T13" i="1"/>
  <c r="L12" i="1"/>
  <c r="M18" i="10"/>
  <c r="AE37" i="12"/>
  <c r="BG37" i="12" s="1"/>
  <c r="Q18" i="12"/>
  <c r="M17" i="12"/>
  <c r="Z38" i="12"/>
  <c r="Y38" i="12"/>
  <c r="J38" i="12"/>
  <c r="AQ17" i="12"/>
  <c r="AU17" i="12" s="1"/>
  <c r="AX17" i="12" s="1"/>
  <c r="BB17" i="12" s="1"/>
  <c r="BJ17" i="12" s="1"/>
  <c r="Y39" i="11"/>
  <c r="Z39" i="11"/>
  <c r="J39" i="11"/>
  <c r="Q18" i="11"/>
  <c r="M17" i="11"/>
  <c r="AQ17" i="11"/>
  <c r="AU17" i="11" s="1"/>
  <c r="AE38" i="11"/>
  <c r="BG38" i="11" s="1"/>
  <c r="N18" i="9"/>
  <c r="BN16" i="9"/>
  <c r="BO16" i="9"/>
  <c r="AP17" i="9"/>
  <c r="AT17" i="9" s="1"/>
  <c r="AS17" i="9"/>
  <c r="AW18" i="10"/>
  <c r="Z38" i="10"/>
  <c r="Y38" i="10"/>
  <c r="J38" i="10"/>
  <c r="W38" i="9"/>
  <c r="I39" i="9" s="1"/>
  <c r="H37" i="9"/>
  <c r="BG37" i="9"/>
  <c r="AA38" i="9"/>
  <c r="AD38" i="9" s="1"/>
  <c r="BF38" i="9" s="1"/>
  <c r="BK13" i="1"/>
  <c r="BM13" i="1" s="1"/>
  <c r="BN13" i="1" s="1"/>
  <c r="AI14" i="1"/>
  <c r="AG14" i="1"/>
  <c r="AH14" i="1"/>
  <c r="O13" i="1"/>
  <c r="I27" i="1"/>
  <c r="Y27" i="1" l="1"/>
  <c r="G26" i="1"/>
  <c r="AE37" i="10"/>
  <c r="BG37" i="10" s="1"/>
  <c r="AC38" i="9"/>
  <c r="BE38" i="9" s="1"/>
  <c r="AA38" i="10"/>
  <c r="AD38" i="10" s="1"/>
  <c r="AC38" i="10"/>
  <c r="G38" i="9"/>
  <c r="AD39" i="11"/>
  <c r="BF39" i="11" s="1"/>
  <c r="L17" i="9"/>
  <c r="AW17" i="12"/>
  <c r="W38" i="12"/>
  <c r="I39" i="12" s="1"/>
  <c r="H37" i="12"/>
  <c r="AA38" i="12"/>
  <c r="AD38" i="12" s="1"/>
  <c r="BF38" i="12" s="1"/>
  <c r="W39" i="11"/>
  <c r="I40" i="11" s="1"/>
  <c r="H38" i="11"/>
  <c r="AW17" i="11"/>
  <c r="BA17" i="11" s="1"/>
  <c r="AX17" i="11"/>
  <c r="BB17" i="11" s="1"/>
  <c r="BJ17" i="11" s="1"/>
  <c r="AA39" i="11"/>
  <c r="AC39" i="11" s="1"/>
  <c r="BE39" i="11" s="1"/>
  <c r="BE38" i="10"/>
  <c r="W38" i="10"/>
  <c r="I39" i="10" s="1"/>
  <c r="H37" i="10"/>
  <c r="BA18" i="10"/>
  <c r="AY18" i="10"/>
  <c r="BC18" i="10" s="1"/>
  <c r="T18" i="9"/>
  <c r="O18" i="9"/>
  <c r="AQ17" i="9"/>
  <c r="AU17" i="9" s="1"/>
  <c r="AX17" i="9" s="1"/>
  <c r="BB17" i="9" s="1"/>
  <c r="BJ17" i="9" s="1"/>
  <c r="Z39" i="9"/>
  <c r="Y39" i="9"/>
  <c r="J39" i="9"/>
  <c r="AE38" i="9"/>
  <c r="BG38" i="9" s="1"/>
  <c r="BO13" i="1"/>
  <c r="Q13" i="1"/>
  <c r="M12" i="1"/>
  <c r="Z27" i="1"/>
  <c r="J27" i="1"/>
  <c r="G39" i="11" l="1"/>
  <c r="AD27" i="1"/>
  <c r="AC38" i="12"/>
  <c r="BE38" i="12" s="1"/>
  <c r="G38" i="10"/>
  <c r="G38" i="12"/>
  <c r="BA17" i="12"/>
  <c r="AY17" i="12"/>
  <c r="BC17" i="12" s="1"/>
  <c r="BK17" i="12" s="1"/>
  <c r="Z39" i="12"/>
  <c r="Y39" i="12"/>
  <c r="J39" i="12"/>
  <c r="BI17" i="11"/>
  <c r="Z40" i="11"/>
  <c r="Y40" i="11"/>
  <c r="J40" i="11"/>
  <c r="AW17" i="9"/>
  <c r="BA17" i="9" s="1"/>
  <c r="BI17" i="9" s="1"/>
  <c r="AE39" i="11"/>
  <c r="BG39" i="11" s="1"/>
  <c r="AY17" i="11"/>
  <c r="BC17" i="11" s="1"/>
  <c r="Z39" i="10"/>
  <c r="Y39" i="10"/>
  <c r="J39" i="10"/>
  <c r="BK18" i="10"/>
  <c r="AH19" i="10"/>
  <c r="AG19" i="10"/>
  <c r="AI19" i="10"/>
  <c r="M17" i="9"/>
  <c r="Q18" i="9"/>
  <c r="S20" i="10"/>
  <c r="BI18" i="10"/>
  <c r="AE38" i="10"/>
  <c r="BF38" i="10"/>
  <c r="W39" i="9"/>
  <c r="I40" i="9" s="1"/>
  <c r="H38" i="9"/>
  <c r="AA39" i="9"/>
  <c r="AD39" i="9" s="1"/>
  <c r="BF39" i="9" s="1"/>
  <c r="BF14" i="1"/>
  <c r="AO14" i="1"/>
  <c r="BE14" i="1"/>
  <c r="W27" i="1"/>
  <c r="I28" i="1" s="1"/>
  <c r="H26" i="1"/>
  <c r="AA27" i="1"/>
  <c r="AC27" i="1" s="1"/>
  <c r="AE27" i="1" s="1"/>
  <c r="Y28" i="1" l="1"/>
  <c r="G27" i="1"/>
  <c r="AA40" i="11"/>
  <c r="AC40" i="11"/>
  <c r="G39" i="9"/>
  <c r="AE38" i="12"/>
  <c r="BG38" i="12" s="1"/>
  <c r="AC39" i="9"/>
  <c r="BE39" i="9" s="1"/>
  <c r="AD40" i="11"/>
  <c r="BF40" i="11" s="1"/>
  <c r="AC39" i="12"/>
  <c r="AG18" i="12"/>
  <c r="AO18" i="12" s="1"/>
  <c r="AI18" i="12"/>
  <c r="BI17" i="12"/>
  <c r="BM17" i="12" s="1"/>
  <c r="BN17" i="12" s="1"/>
  <c r="S19" i="12"/>
  <c r="AH18" i="12"/>
  <c r="AP18" i="12" s="1"/>
  <c r="W39" i="12"/>
  <c r="I40" i="12" s="1"/>
  <c r="H38" i="12"/>
  <c r="BE39" i="12"/>
  <c r="AY17" i="9"/>
  <c r="BC17" i="9" s="1"/>
  <c r="BK17" i="9" s="1"/>
  <c r="BM17" i="9" s="1"/>
  <c r="N19" i="9" s="1"/>
  <c r="AA39" i="12"/>
  <c r="AD39" i="12" s="1"/>
  <c r="BF39" i="12" s="1"/>
  <c r="N19" i="12"/>
  <c r="BO17" i="12"/>
  <c r="W40" i="11"/>
  <c r="I41" i="11" s="1"/>
  <c r="H39" i="11"/>
  <c r="BK17" i="11"/>
  <c r="BM17" i="11" s="1"/>
  <c r="AI18" i="11"/>
  <c r="AH18" i="11"/>
  <c r="AG18" i="11"/>
  <c r="BE40" i="11"/>
  <c r="S19" i="11"/>
  <c r="BM18" i="10"/>
  <c r="W39" i="10"/>
  <c r="I40" i="10" s="1"/>
  <c r="H38" i="10"/>
  <c r="AG18" i="9"/>
  <c r="AO18" i="9" s="1"/>
  <c r="AH18" i="9"/>
  <c r="AA39" i="10"/>
  <c r="AC39" i="10" s="1"/>
  <c r="AI18" i="9"/>
  <c r="BG38" i="10"/>
  <c r="AO19" i="10"/>
  <c r="AE39" i="9"/>
  <c r="Z40" i="9"/>
  <c r="Y40" i="9"/>
  <c r="J40" i="9"/>
  <c r="BG14" i="1"/>
  <c r="AS14" i="1"/>
  <c r="AP14" i="1"/>
  <c r="AT14" i="1" s="1"/>
  <c r="Z28" i="1"/>
  <c r="J28" i="1"/>
  <c r="G39" i="10" l="1"/>
  <c r="G41" i="11"/>
  <c r="G40" i="11"/>
  <c r="G39" i="12"/>
  <c r="AD39" i="10"/>
  <c r="BF39" i="10" s="1"/>
  <c r="AS18" i="12"/>
  <c r="BN17" i="9"/>
  <c r="BO17" i="9"/>
  <c r="S19" i="9"/>
  <c r="T19" i="9" s="1"/>
  <c r="AC28" i="1"/>
  <c r="AE28" i="1" s="1"/>
  <c r="L18" i="12"/>
  <c r="L18" i="9"/>
  <c r="AT18" i="12"/>
  <c r="AQ18" i="12"/>
  <c r="AU18" i="12" s="1"/>
  <c r="O19" i="12"/>
  <c r="T19" i="12"/>
  <c r="AX18" i="12"/>
  <c r="BB18" i="12" s="1"/>
  <c r="BJ18" i="12" s="1"/>
  <c r="AW18" i="12"/>
  <c r="BA18" i="12" s="1"/>
  <c r="AE39" i="12"/>
  <c r="BG39" i="12" s="1"/>
  <c r="Z40" i="12"/>
  <c r="Y40" i="12"/>
  <c r="J40" i="12"/>
  <c r="N19" i="11"/>
  <c r="BO17" i="11"/>
  <c r="BN17" i="11"/>
  <c r="Y41" i="11"/>
  <c r="Z41" i="11"/>
  <c r="J41" i="11"/>
  <c r="H41" i="11" s="1"/>
  <c r="AE40" i="11"/>
  <c r="AO18" i="11"/>
  <c r="AE39" i="10"/>
  <c r="BG39" i="10" s="1"/>
  <c r="Z40" i="10"/>
  <c r="Y40" i="10"/>
  <c r="J40" i="10"/>
  <c r="AP19" i="10"/>
  <c r="AT19" i="10" s="1"/>
  <c r="AS19" i="10"/>
  <c r="BE39" i="10"/>
  <c r="BO18" i="10"/>
  <c r="N20" i="10"/>
  <c r="BN18" i="10"/>
  <c r="O19" i="9"/>
  <c r="BG39" i="9"/>
  <c r="W40" i="9"/>
  <c r="I41" i="9" s="1"/>
  <c r="H39" i="9"/>
  <c r="AP18" i="9"/>
  <c r="AT18" i="9" s="1"/>
  <c r="AA40" i="9"/>
  <c r="AC40" i="9" s="1"/>
  <c r="BE40" i="9" s="1"/>
  <c r="AS18" i="9"/>
  <c r="AQ14" i="1"/>
  <c r="AU14" i="1" s="1"/>
  <c r="AW14" i="1" s="1"/>
  <c r="BA14" i="1" s="1"/>
  <c r="W28" i="1"/>
  <c r="I29" i="1" s="1"/>
  <c r="H27" i="1"/>
  <c r="AA28" i="1"/>
  <c r="AD28" i="1" s="1"/>
  <c r="AD40" i="9" l="1"/>
  <c r="BF40" i="9" s="1"/>
  <c r="AA40" i="12"/>
  <c r="AC40" i="12" s="1"/>
  <c r="Y29" i="1"/>
  <c r="G28" i="1"/>
  <c r="G41" i="9"/>
  <c r="G40" i="9"/>
  <c r="AD40" i="12"/>
  <c r="AY18" i="12"/>
  <c r="BC18" i="12" s="1"/>
  <c r="AI19" i="12" s="1"/>
  <c r="L19" i="10"/>
  <c r="T19" i="11"/>
  <c r="L18" i="11"/>
  <c r="BI18" i="12"/>
  <c r="W40" i="12"/>
  <c r="I41" i="12" s="1"/>
  <c r="H39" i="12"/>
  <c r="AH19" i="12"/>
  <c r="AG19" i="12"/>
  <c r="BF40" i="12"/>
  <c r="Q19" i="12"/>
  <c r="M18" i="12"/>
  <c r="AP18" i="11"/>
  <c r="AT18" i="11" s="1"/>
  <c r="AA41" i="11"/>
  <c r="AC41" i="11" s="1"/>
  <c r="AS18" i="11"/>
  <c r="BG40" i="11"/>
  <c r="AQ19" i="10"/>
  <c r="AU19" i="10" s="1"/>
  <c r="AX19" i="10" s="1"/>
  <c r="BB19" i="10" s="1"/>
  <c r="BJ19" i="10" s="1"/>
  <c r="W41" i="11"/>
  <c r="H40" i="11"/>
  <c r="O19" i="11"/>
  <c r="AA40" i="10"/>
  <c r="AC40" i="10" s="1"/>
  <c r="BE40" i="10" s="1"/>
  <c r="W40" i="10"/>
  <c r="I41" i="10" s="1"/>
  <c r="H39" i="10"/>
  <c r="O20" i="10"/>
  <c r="T20" i="10"/>
  <c r="AE40" i="9"/>
  <c r="AQ18" i="9"/>
  <c r="AU18" i="9" s="1"/>
  <c r="Q19" i="9"/>
  <c r="M18" i="9"/>
  <c r="Y41" i="9"/>
  <c r="Z41" i="9"/>
  <c r="J41" i="9"/>
  <c r="H41" i="9" s="1"/>
  <c r="AX14" i="1"/>
  <c r="BB14" i="1" s="1"/>
  <c r="BJ14" i="1" s="1"/>
  <c r="BI14" i="1"/>
  <c r="S14" i="1"/>
  <c r="Z29" i="1"/>
  <c r="J29" i="1"/>
  <c r="AD40" i="10" l="1"/>
  <c r="BF40" i="10" s="1"/>
  <c r="AD41" i="11"/>
  <c r="BF41" i="11" s="1"/>
  <c r="BK18" i="12"/>
  <c r="G41" i="12"/>
  <c r="G40" i="12"/>
  <c r="AD29" i="1"/>
  <c r="S20" i="12"/>
  <c r="G41" i="10"/>
  <c r="G40" i="10"/>
  <c r="AC41" i="9"/>
  <c r="AW19" i="10"/>
  <c r="BA19" i="10" s="1"/>
  <c r="BI19" i="10" s="1"/>
  <c r="AE40" i="12"/>
  <c r="Y41" i="12"/>
  <c r="Z41" i="12"/>
  <c r="J41" i="12"/>
  <c r="H41" i="12" s="1"/>
  <c r="BM18" i="12"/>
  <c r="BE40" i="12"/>
  <c r="AO19" i="12"/>
  <c r="AS19" i="12" s="1"/>
  <c r="Q19" i="11"/>
  <c r="M18" i="11"/>
  <c r="AQ18" i="11"/>
  <c r="AU18" i="11" s="1"/>
  <c r="AE41" i="11"/>
  <c r="BG41" i="11" s="1"/>
  <c r="BE41" i="11"/>
  <c r="Y41" i="10"/>
  <c r="Z41" i="10"/>
  <c r="J41" i="10"/>
  <c r="H41" i="10" s="1"/>
  <c r="Q20" i="10"/>
  <c r="M19" i="10"/>
  <c r="AE40" i="10"/>
  <c r="W41" i="9"/>
  <c r="H40" i="9"/>
  <c r="AW18" i="9"/>
  <c r="BA18" i="9" s="1"/>
  <c r="BG40" i="9"/>
  <c r="AX18" i="9"/>
  <c r="BB18" i="9" s="1"/>
  <c r="BJ18" i="9" s="1"/>
  <c r="AA41" i="9"/>
  <c r="AD41" i="9" s="1"/>
  <c r="BF41" i="9" s="1"/>
  <c r="AY14" i="1"/>
  <c r="BC14" i="1" s="1"/>
  <c r="N14" i="1"/>
  <c r="W29" i="1"/>
  <c r="I30" i="1" s="1"/>
  <c r="H28" i="1"/>
  <c r="AA29" i="1"/>
  <c r="AC29" i="1" s="1"/>
  <c r="AE29" i="1" s="1"/>
  <c r="Y30" i="1" l="1"/>
  <c r="G29" i="1"/>
  <c r="AC41" i="10"/>
  <c r="AY19" i="10"/>
  <c r="BC19" i="10" s="1"/>
  <c r="S21" i="10" s="1"/>
  <c r="AD41" i="12"/>
  <c r="BF41" i="12" s="1"/>
  <c r="L13" i="1"/>
  <c r="AA41" i="12"/>
  <c r="AC41" i="12" s="1"/>
  <c r="BE41" i="12" s="1"/>
  <c r="W41" i="12"/>
  <c r="H40" i="12"/>
  <c r="AP19" i="12"/>
  <c r="AT19" i="12" s="1"/>
  <c r="N20" i="12"/>
  <c r="BO18" i="12"/>
  <c r="BN18" i="12"/>
  <c r="BG40" i="12"/>
  <c r="AW18" i="11"/>
  <c r="BA18" i="11" s="1"/>
  <c r="AX18" i="11"/>
  <c r="BB18" i="11" s="1"/>
  <c r="BJ18" i="11" s="1"/>
  <c r="AH20" i="10"/>
  <c r="AI20" i="10"/>
  <c r="W41" i="10"/>
  <c r="H40" i="10"/>
  <c r="AA41" i="10"/>
  <c r="AD41" i="10" s="1"/>
  <c r="BF41" i="10" s="1"/>
  <c r="BG40" i="10"/>
  <c r="BI18" i="9"/>
  <c r="AE41" i="9"/>
  <c r="BE41" i="9"/>
  <c r="AY18" i="9"/>
  <c r="BC18" i="9" s="1"/>
  <c r="BK14" i="1"/>
  <c r="BM14" i="1" s="1"/>
  <c r="BO14" i="1" s="1"/>
  <c r="AI15" i="1"/>
  <c r="AG15" i="1"/>
  <c r="AH15" i="1"/>
  <c r="T14" i="1"/>
  <c r="O14" i="1"/>
  <c r="Z30" i="1"/>
  <c r="J30" i="1"/>
  <c r="BK19" i="10" l="1"/>
  <c r="BM19" i="10" s="1"/>
  <c r="BO19" i="10" s="1"/>
  <c r="AG20" i="10"/>
  <c r="L19" i="12"/>
  <c r="AQ19" i="12"/>
  <c r="AU19" i="12" s="1"/>
  <c r="O20" i="12"/>
  <c r="T20" i="12"/>
  <c r="AE41" i="12"/>
  <c r="BI18" i="11"/>
  <c r="AY18" i="11"/>
  <c r="BC18" i="11" s="1"/>
  <c r="BN19" i="10"/>
  <c r="AE41" i="10"/>
  <c r="BG41" i="10" s="1"/>
  <c r="BE41" i="10"/>
  <c r="AO20" i="10"/>
  <c r="BK18" i="9"/>
  <c r="BM18" i="9" s="1"/>
  <c r="AH19" i="9"/>
  <c r="AI19" i="9"/>
  <c r="AG19" i="9"/>
  <c r="BG41" i="9"/>
  <c r="S20" i="9"/>
  <c r="BN14" i="1"/>
  <c r="Q14" i="1"/>
  <c r="M13" i="1"/>
  <c r="W30" i="1"/>
  <c r="I31" i="1" s="1"/>
  <c r="H29" i="1"/>
  <c r="AA30" i="1"/>
  <c r="AC30" i="1" s="1"/>
  <c r="Y31" i="1" l="1"/>
  <c r="G30" i="1"/>
  <c r="N21" i="10"/>
  <c r="O21" i="10" s="1"/>
  <c r="AD30" i="1"/>
  <c r="AE30" i="1" s="1"/>
  <c r="AW19" i="12"/>
  <c r="BA19" i="12" s="1"/>
  <c r="AX19" i="12"/>
  <c r="BB19" i="12" s="1"/>
  <c r="BJ19" i="12" s="1"/>
  <c r="Q20" i="12"/>
  <c r="M19" i="12"/>
  <c r="BG41" i="12"/>
  <c r="BK18" i="11"/>
  <c r="BM18" i="11" s="1"/>
  <c r="AH19" i="11"/>
  <c r="AG19" i="11"/>
  <c r="AI19" i="11"/>
  <c r="S20" i="11"/>
  <c r="AP20" i="10"/>
  <c r="AT20" i="10" s="1"/>
  <c r="AS20" i="10"/>
  <c r="AO19" i="9"/>
  <c r="N20" i="9"/>
  <c r="BO18" i="9"/>
  <c r="BN18" i="9"/>
  <c r="BG15" i="1"/>
  <c r="BE15" i="1"/>
  <c r="BF15" i="1"/>
  <c r="Z31" i="1"/>
  <c r="J31" i="1"/>
  <c r="L20" i="10" l="1"/>
  <c r="T21" i="10"/>
  <c r="L19" i="9"/>
  <c r="BI19" i="12"/>
  <c r="AY19" i="12"/>
  <c r="BC19" i="12" s="1"/>
  <c r="BK19" i="12" s="1"/>
  <c r="AQ20" i="10"/>
  <c r="AU20" i="10" s="1"/>
  <c r="AW20" i="10" s="1"/>
  <c r="BA20" i="10" s="1"/>
  <c r="N20" i="11"/>
  <c r="BO18" i="11"/>
  <c r="BN18" i="11"/>
  <c r="AO19" i="11"/>
  <c r="AS19" i="11" s="1"/>
  <c r="Q21" i="10"/>
  <c r="M20" i="10"/>
  <c r="O20" i="9"/>
  <c r="AP19" i="9"/>
  <c r="AT19" i="9" s="1"/>
  <c r="T20" i="9"/>
  <c r="AS19" i="9"/>
  <c r="AO15" i="1"/>
  <c r="AS15" i="1" s="1"/>
  <c r="W31" i="1"/>
  <c r="I32" i="1" s="1"/>
  <c r="H30" i="1"/>
  <c r="AA31" i="1"/>
  <c r="AD31" i="1" s="1"/>
  <c r="Y32" i="1" l="1"/>
  <c r="G31" i="1"/>
  <c r="AC31" i="1"/>
  <c r="AE31" i="1" s="1"/>
  <c r="AX20" i="10"/>
  <c r="BB20" i="10" s="1"/>
  <c r="BJ20" i="10" s="1"/>
  <c r="T20" i="11"/>
  <c r="L19" i="11"/>
  <c r="AG20" i="12"/>
  <c r="AI20" i="12"/>
  <c r="BM19" i="12"/>
  <c r="AH20" i="12"/>
  <c r="S21" i="12"/>
  <c r="AQ19" i="9"/>
  <c r="AU19" i="9" s="1"/>
  <c r="AX19" i="9" s="1"/>
  <c r="BB19" i="9" s="1"/>
  <c r="BJ19" i="9" s="1"/>
  <c r="AP19" i="11"/>
  <c r="AT19" i="11" s="1"/>
  <c r="O20" i="11"/>
  <c r="BI20" i="10"/>
  <c r="Q20" i="9"/>
  <c r="M19" i="9"/>
  <c r="AP15" i="1"/>
  <c r="AT15" i="1" s="1"/>
  <c r="Z32" i="1"/>
  <c r="J32" i="1"/>
  <c r="AY20" i="10" l="1"/>
  <c r="BC20" i="10" s="1"/>
  <c r="BN19" i="12"/>
  <c r="N21" i="12"/>
  <c r="BO19" i="12"/>
  <c r="AO20" i="12"/>
  <c r="AS20" i="12" s="1"/>
  <c r="AW19" i="9"/>
  <c r="BA19" i="9" s="1"/>
  <c r="AQ19" i="11"/>
  <c r="AU19" i="11" s="1"/>
  <c r="AW19" i="11" s="1"/>
  <c r="BA19" i="11" s="1"/>
  <c r="Q20" i="11"/>
  <c r="M19" i="11"/>
  <c r="BK20" i="10"/>
  <c r="BM20" i="10" s="1"/>
  <c r="AI21" i="10"/>
  <c r="AH21" i="10"/>
  <c r="AG21" i="10"/>
  <c r="S22" i="10"/>
  <c r="BI19" i="9"/>
  <c r="AQ15" i="1"/>
  <c r="AU15" i="1" s="1"/>
  <c r="AW15" i="1" s="1"/>
  <c r="BA15" i="1" s="1"/>
  <c r="BI15" i="1" s="1"/>
  <c r="S15" i="1"/>
  <c r="W32" i="1"/>
  <c r="I33" i="1" s="1"/>
  <c r="H31" i="1"/>
  <c r="AA32" i="1"/>
  <c r="AD32" i="1" s="1"/>
  <c r="Y33" i="1" l="1"/>
  <c r="G32" i="1"/>
  <c r="AC32" i="1"/>
  <c r="AE32" i="1" s="1"/>
  <c r="L20" i="12"/>
  <c r="AY19" i="9"/>
  <c r="BC19" i="9" s="1"/>
  <c r="S21" i="9" s="1"/>
  <c r="AP20" i="12"/>
  <c r="AT20" i="12" s="1"/>
  <c r="T21" i="12"/>
  <c r="O21" i="12"/>
  <c r="AX19" i="11"/>
  <c r="BB19" i="11" s="1"/>
  <c r="BJ19" i="11" s="1"/>
  <c r="BI19" i="11"/>
  <c r="AO21" i="10"/>
  <c r="N22" i="10"/>
  <c r="BO20" i="10"/>
  <c r="BN20" i="10"/>
  <c r="BK19" i="9"/>
  <c r="BM19" i="9" s="1"/>
  <c r="AG20" i="9"/>
  <c r="AX15" i="1"/>
  <c r="BB15" i="1" s="1"/>
  <c r="BJ15" i="1" s="1"/>
  <c r="N15" i="1"/>
  <c r="Z33" i="1"/>
  <c r="J33" i="1"/>
  <c r="AD33" i="1" l="1"/>
  <c r="AI20" i="9"/>
  <c r="AH20" i="9"/>
  <c r="AC33" i="1"/>
  <c r="AE33" i="1" s="1"/>
  <c r="AQ20" i="12"/>
  <c r="AU20" i="12" s="1"/>
  <c r="AW20" i="12" s="1"/>
  <c r="BA20" i="12" s="1"/>
  <c r="L21" i="10"/>
  <c r="L14" i="1"/>
  <c r="Q21" i="12"/>
  <c r="M20" i="12"/>
  <c r="AY19" i="11"/>
  <c r="BC19" i="11" s="1"/>
  <c r="AG20" i="11" s="1"/>
  <c r="AO20" i="11" s="1"/>
  <c r="AP21" i="10"/>
  <c r="AT21" i="10" s="1"/>
  <c r="O22" i="10"/>
  <c r="T22" i="10"/>
  <c r="AS21" i="10"/>
  <c r="AO20" i="9"/>
  <c r="BO19" i="9"/>
  <c r="N21" i="9"/>
  <c r="BN19" i="9"/>
  <c r="AY15" i="1"/>
  <c r="BC15" i="1" s="1"/>
  <c r="T15" i="1"/>
  <c r="O15" i="1"/>
  <c r="W33" i="1"/>
  <c r="I34" i="1" s="1"/>
  <c r="H32" i="1"/>
  <c r="AA33" i="1"/>
  <c r="Y34" i="1" l="1"/>
  <c r="G33" i="1"/>
  <c r="AX20" i="12"/>
  <c r="BB20" i="12" s="1"/>
  <c r="BJ20" i="12" s="1"/>
  <c r="L20" i="9"/>
  <c r="BI20" i="12"/>
  <c r="AY20" i="12"/>
  <c r="BC20" i="12" s="1"/>
  <c r="BK20" i="12" s="1"/>
  <c r="BM20" i="12" s="1"/>
  <c r="BK19" i="11"/>
  <c r="BM19" i="11" s="1"/>
  <c r="AI20" i="11"/>
  <c r="AH20" i="11"/>
  <c r="AP20" i="11" s="1"/>
  <c r="AT20" i="11" s="1"/>
  <c r="S21" i="11"/>
  <c r="AS20" i="11"/>
  <c r="Q22" i="10"/>
  <c r="M21" i="10"/>
  <c r="AQ21" i="10"/>
  <c r="AU21" i="10" s="1"/>
  <c r="AX21" i="10" s="1"/>
  <c r="BB21" i="10" s="1"/>
  <c r="BJ21" i="10" s="1"/>
  <c r="O21" i="9"/>
  <c r="AP20" i="9"/>
  <c r="AT20" i="9" s="1"/>
  <c r="AS20" i="9"/>
  <c r="T21" i="9"/>
  <c r="BK15" i="1"/>
  <c r="BM15" i="1" s="1"/>
  <c r="BO15" i="1" s="1"/>
  <c r="AI16" i="1"/>
  <c r="AG16" i="1"/>
  <c r="AH16" i="1"/>
  <c r="Q15" i="1"/>
  <c r="M14" i="1"/>
  <c r="Z34" i="1"/>
  <c r="J34" i="1"/>
  <c r="BO20" i="12" l="1"/>
  <c r="N22" i="12"/>
  <c r="BN20" i="12"/>
  <c r="AG21" i="12"/>
  <c r="AH21" i="12"/>
  <c r="AI21" i="12"/>
  <c r="S22" i="12"/>
  <c r="BN19" i="11"/>
  <c r="BO19" i="11"/>
  <c r="N21" i="11"/>
  <c r="AQ20" i="11"/>
  <c r="AU20" i="11" s="1"/>
  <c r="AW20" i="11" s="1"/>
  <c r="BA20" i="11" s="1"/>
  <c r="AW21" i="10"/>
  <c r="BA21" i="10" s="1"/>
  <c r="AQ20" i="9"/>
  <c r="AU20" i="9" s="1"/>
  <c r="Q21" i="9"/>
  <c r="M20" i="9"/>
  <c r="BN15" i="1"/>
  <c r="BF16" i="1"/>
  <c r="BE16" i="1"/>
  <c r="W34" i="1"/>
  <c r="I35" i="1" s="1"/>
  <c r="H33" i="1"/>
  <c r="AA34" i="1"/>
  <c r="AD34" i="1" s="1"/>
  <c r="Y35" i="1" l="1"/>
  <c r="G34" i="1"/>
  <c r="AC34" i="1"/>
  <c r="AE34" i="1" s="1"/>
  <c r="T22" i="12"/>
  <c r="L20" i="11"/>
  <c r="L21" i="12"/>
  <c r="AO21" i="12"/>
  <c r="AS21" i="12" s="1"/>
  <c r="O22" i="12"/>
  <c r="O21" i="11"/>
  <c r="T21" i="11"/>
  <c r="BI20" i="11"/>
  <c r="AX20" i="11"/>
  <c r="BB20" i="11" s="1"/>
  <c r="BJ20" i="11" s="1"/>
  <c r="BI21" i="10"/>
  <c r="AY21" i="10"/>
  <c r="BC21" i="10" s="1"/>
  <c r="AW20" i="9"/>
  <c r="BA20" i="9" s="1"/>
  <c r="AX20" i="9"/>
  <c r="BB20" i="9" s="1"/>
  <c r="BJ20" i="9" s="1"/>
  <c r="AO16" i="1"/>
  <c r="AP16" i="1" s="1"/>
  <c r="AT16" i="1" s="1"/>
  <c r="BG16" i="1"/>
  <c r="Z35" i="1"/>
  <c r="J35" i="1"/>
  <c r="AD35" i="1" l="1"/>
  <c r="Q22" i="12"/>
  <c r="M21" i="12"/>
  <c r="AP21" i="12"/>
  <c r="AT21" i="12" s="1"/>
  <c r="Q21" i="11"/>
  <c r="M20" i="11"/>
  <c r="AY20" i="11"/>
  <c r="BC20" i="11" s="1"/>
  <c r="S22" i="11"/>
  <c r="BK21" i="10"/>
  <c r="BM21" i="10" s="1"/>
  <c r="AI22" i="10"/>
  <c r="AH22" i="10"/>
  <c r="AG22" i="10"/>
  <c r="S23" i="10"/>
  <c r="BI20" i="9"/>
  <c r="AY20" i="9"/>
  <c r="BC20" i="9" s="1"/>
  <c r="AQ16" i="1"/>
  <c r="AU16" i="1" s="1"/>
  <c r="AS16" i="1"/>
  <c r="W35" i="1"/>
  <c r="I36" i="1" s="1"/>
  <c r="H34" i="1"/>
  <c r="AA35" i="1"/>
  <c r="AC35" i="1" s="1"/>
  <c r="AE35" i="1" s="1"/>
  <c r="Y36" i="1" l="1"/>
  <c r="G35" i="1"/>
  <c r="AQ21" i="12"/>
  <c r="AU21" i="12" s="1"/>
  <c r="AW21" i="12" s="1"/>
  <c r="AX21" i="12"/>
  <c r="BB21" i="12" s="1"/>
  <c r="BJ21" i="12" s="1"/>
  <c r="BK20" i="11"/>
  <c r="BM20" i="11" s="1"/>
  <c r="AI21" i="11"/>
  <c r="AH21" i="11"/>
  <c r="AG21" i="11"/>
  <c r="N23" i="10"/>
  <c r="BO21" i="10"/>
  <c r="BN21" i="10"/>
  <c r="AO22" i="10"/>
  <c r="BK20" i="9"/>
  <c r="BM20" i="9" s="1"/>
  <c r="AH21" i="9"/>
  <c r="AG21" i="9"/>
  <c r="AI21" i="9"/>
  <c r="S22" i="9"/>
  <c r="AX16" i="1"/>
  <c r="BB16" i="1" s="1"/>
  <c r="BJ16" i="1" s="1"/>
  <c r="AW16" i="1"/>
  <c r="BA16" i="1" s="1"/>
  <c r="BI16" i="1" s="1"/>
  <c r="S16" i="1"/>
  <c r="Z36" i="1"/>
  <c r="J36" i="1"/>
  <c r="BA21" i="12" l="1"/>
  <c r="AY21" i="12"/>
  <c r="BC21" i="12" s="1"/>
  <c r="BK21" i="12" s="1"/>
  <c r="T23" i="10"/>
  <c r="L22" i="10"/>
  <c r="BI21" i="12"/>
  <c r="BM21" i="12" s="1"/>
  <c r="N23" i="12" s="1"/>
  <c r="S23" i="12"/>
  <c r="AO21" i="11"/>
  <c r="AS21" i="11" s="1"/>
  <c r="N22" i="11"/>
  <c r="BO20" i="11"/>
  <c r="BN20" i="11"/>
  <c r="AP22" i="10"/>
  <c r="AT22" i="10" s="1"/>
  <c r="AS22" i="10"/>
  <c r="O23" i="10"/>
  <c r="N22" i="9"/>
  <c r="BO20" i="9"/>
  <c r="BN20" i="9"/>
  <c r="AO21" i="9"/>
  <c r="AY16" i="1"/>
  <c r="BC16" i="1" s="1"/>
  <c r="N16" i="1"/>
  <c r="W36" i="1"/>
  <c r="I37" i="1" s="1"/>
  <c r="H35" i="1"/>
  <c r="AA36" i="1"/>
  <c r="AD36" i="1" s="1"/>
  <c r="AC36" i="1" l="1"/>
  <c r="AE36" i="1" s="1"/>
  <c r="BN21" i="12"/>
  <c r="Y37" i="1"/>
  <c r="G36" i="1"/>
  <c r="BO21" i="12"/>
  <c r="AG22" i="12"/>
  <c r="AO22" i="12" s="1"/>
  <c r="AS22" i="12" s="1"/>
  <c r="AI22" i="12"/>
  <c r="AH22" i="12"/>
  <c r="L21" i="11"/>
  <c r="L22" i="12"/>
  <c r="T16" i="1"/>
  <c r="L15" i="1"/>
  <c r="T22" i="9"/>
  <c r="L21" i="9"/>
  <c r="O23" i="12"/>
  <c r="T23" i="12"/>
  <c r="O22" i="11"/>
  <c r="T22" i="11"/>
  <c r="AP21" i="11"/>
  <c r="AT21" i="11" s="1"/>
  <c r="Q23" i="10"/>
  <c r="M22" i="10"/>
  <c r="AQ22" i="10"/>
  <c r="AU22" i="10" s="1"/>
  <c r="AX22" i="10" s="1"/>
  <c r="BB22" i="10" s="1"/>
  <c r="BJ22" i="10" s="1"/>
  <c r="O22" i="9"/>
  <c r="AP21" i="9"/>
  <c r="AT21" i="9" s="1"/>
  <c r="AS21" i="9"/>
  <c r="BK16" i="1"/>
  <c r="BM16" i="1" s="1"/>
  <c r="BN16" i="1" s="1"/>
  <c r="AH17" i="1"/>
  <c r="AG17" i="1"/>
  <c r="AI17" i="1"/>
  <c r="O16" i="1"/>
  <c r="Z37" i="1"/>
  <c r="J37" i="1"/>
  <c r="AP22" i="12" l="1"/>
  <c r="AT22" i="12" s="1"/>
  <c r="AQ22" i="12"/>
  <c r="AU22" i="12" s="1"/>
  <c r="AY22" i="12" s="1"/>
  <c r="BC22" i="12" s="1"/>
  <c r="AW22" i="12"/>
  <c r="BA22" i="12" s="1"/>
  <c r="AX22" i="12"/>
  <c r="BB22" i="12" s="1"/>
  <c r="BJ22" i="12" s="1"/>
  <c r="Q23" i="12"/>
  <c r="M22" i="12"/>
  <c r="Q22" i="11"/>
  <c r="M21" i="11"/>
  <c r="AQ21" i="11"/>
  <c r="AU21" i="11" s="1"/>
  <c r="AW21" i="11" s="1"/>
  <c r="BA21" i="11" s="1"/>
  <c r="AW22" i="10"/>
  <c r="BA22" i="10" s="1"/>
  <c r="AQ21" i="9"/>
  <c r="AU21" i="9" s="1"/>
  <c r="Q22" i="9"/>
  <c r="M21" i="9"/>
  <c r="BO16" i="1"/>
  <c r="Q16" i="1"/>
  <c r="M15" i="1"/>
  <c r="W37" i="1"/>
  <c r="I38" i="1" s="1"/>
  <c r="H36" i="1"/>
  <c r="AA37" i="1"/>
  <c r="AC37" i="1" s="1"/>
  <c r="AD37" i="1" l="1"/>
  <c r="AE37" i="1" s="1"/>
  <c r="Y38" i="1"/>
  <c r="G37" i="1"/>
  <c r="AY22" i="10"/>
  <c r="BC22" i="10" s="1"/>
  <c r="AH23" i="10" s="1"/>
  <c r="BK22" i="12"/>
  <c r="AH23" i="12"/>
  <c r="AG23" i="12"/>
  <c r="AI23" i="12"/>
  <c r="S24" i="12"/>
  <c r="BI22" i="12"/>
  <c r="BI21" i="11"/>
  <c r="AX21" i="11"/>
  <c r="BB21" i="11" s="1"/>
  <c r="BJ21" i="11" s="1"/>
  <c r="S24" i="10"/>
  <c r="BI22" i="10"/>
  <c r="BK22" i="10"/>
  <c r="AX21" i="9"/>
  <c r="BB21" i="9" s="1"/>
  <c r="BJ21" i="9" s="1"/>
  <c r="AW21" i="9"/>
  <c r="BA21" i="9" s="1"/>
  <c r="BG17" i="1"/>
  <c r="AO17" i="1"/>
  <c r="BE17" i="1"/>
  <c r="BF17" i="1"/>
  <c r="Z38" i="1"/>
  <c r="J38" i="1"/>
  <c r="AG23" i="10" l="1"/>
  <c r="BM22" i="12"/>
  <c r="BN22" i="12" s="1"/>
  <c r="AI23" i="10"/>
  <c r="AC38" i="1"/>
  <c r="AE38" i="1" s="1"/>
  <c r="AD38" i="1"/>
  <c r="N24" i="12"/>
  <c r="BO22" i="12"/>
  <c r="AO23" i="12"/>
  <c r="AY21" i="11"/>
  <c r="BC21" i="11" s="1"/>
  <c r="S23" i="11" s="1"/>
  <c r="BM22" i="10"/>
  <c r="AO23" i="10"/>
  <c r="BI21" i="9"/>
  <c r="AY21" i="9"/>
  <c r="BC21" i="9" s="1"/>
  <c r="AS17" i="1"/>
  <c r="AP17" i="1"/>
  <c r="AT17" i="1" s="1"/>
  <c r="W38" i="1"/>
  <c r="I39" i="1" s="1"/>
  <c r="H37" i="1"/>
  <c r="AA38" i="1"/>
  <c r="Y39" i="1" l="1"/>
  <c r="G38" i="1"/>
  <c r="T24" i="12"/>
  <c r="L23" i="12"/>
  <c r="AP23" i="12"/>
  <c r="AT23" i="12" s="1"/>
  <c r="AS23" i="12"/>
  <c r="O24" i="12"/>
  <c r="BK21" i="11"/>
  <c r="BM21" i="11" s="1"/>
  <c r="AH22" i="11"/>
  <c r="AG22" i="11"/>
  <c r="AI22" i="11"/>
  <c r="AP23" i="10"/>
  <c r="AT23" i="10" s="1"/>
  <c r="AS23" i="10"/>
  <c r="N24" i="10"/>
  <c r="BO22" i="10"/>
  <c r="BN22" i="10"/>
  <c r="BK21" i="9"/>
  <c r="BM21" i="9" s="1"/>
  <c r="AH22" i="9"/>
  <c r="AG22" i="9"/>
  <c r="AI22" i="9"/>
  <c r="S23" i="9"/>
  <c r="AQ17" i="1"/>
  <c r="AU17" i="1" s="1"/>
  <c r="AW17" i="1" s="1"/>
  <c r="BA17" i="1" s="1"/>
  <c r="BI17" i="1" s="1"/>
  <c r="Z39" i="1"/>
  <c r="J39" i="1"/>
  <c r="L23" i="10" l="1"/>
  <c r="Q24" i="12"/>
  <c r="M23" i="12"/>
  <c r="AQ23" i="12"/>
  <c r="AU23" i="12" s="1"/>
  <c r="AW23" i="12" s="1"/>
  <c r="BA23" i="12" s="1"/>
  <c r="AO22" i="11"/>
  <c r="N23" i="11"/>
  <c r="BO21" i="11"/>
  <c r="BN21" i="11"/>
  <c r="O24" i="10"/>
  <c r="T24" i="10"/>
  <c r="AQ23" i="10"/>
  <c r="AU23" i="10" s="1"/>
  <c r="AW23" i="10" s="1"/>
  <c r="BA23" i="10" s="1"/>
  <c r="BO21" i="9"/>
  <c r="N23" i="9"/>
  <c r="BN21" i="9"/>
  <c r="AO22" i="9"/>
  <c r="AX17" i="1"/>
  <c r="BB17" i="1" s="1"/>
  <c r="BJ17" i="1" s="1"/>
  <c r="S17" i="1"/>
  <c r="W39" i="1"/>
  <c r="I40" i="1" s="1"/>
  <c r="H38" i="1"/>
  <c r="AA39" i="1"/>
  <c r="AD39" i="1" s="1"/>
  <c r="Y40" i="1" l="1"/>
  <c r="G39" i="1"/>
  <c r="AC39" i="1"/>
  <c r="AE39" i="1" s="1"/>
  <c r="L22" i="11"/>
  <c r="L22" i="9"/>
  <c r="BI23" i="12"/>
  <c r="AX23" i="12"/>
  <c r="BB23" i="12" s="1"/>
  <c r="BJ23" i="12" s="1"/>
  <c r="AY23" i="12"/>
  <c r="BC23" i="12" s="1"/>
  <c r="O23" i="11"/>
  <c r="T23" i="11"/>
  <c r="AP22" i="11"/>
  <c r="AT22" i="11" s="1"/>
  <c r="AS22" i="11"/>
  <c r="BI23" i="10"/>
  <c r="AX23" i="10"/>
  <c r="BB23" i="10" s="1"/>
  <c r="BJ23" i="10" s="1"/>
  <c r="Q24" i="10"/>
  <c r="M23" i="10"/>
  <c r="AP22" i="9"/>
  <c r="AT22" i="9" s="1"/>
  <c r="AS22" i="9"/>
  <c r="O23" i="9"/>
  <c r="T23" i="9"/>
  <c r="AY17" i="1"/>
  <c r="BC17" i="1" s="1"/>
  <c r="N17" i="1"/>
  <c r="Z40" i="1"/>
  <c r="J40" i="1"/>
  <c r="AY23" i="10" l="1"/>
  <c r="BC23" i="10" s="1"/>
  <c r="L16" i="1"/>
  <c r="BK23" i="12"/>
  <c r="BM23" i="12" s="1"/>
  <c r="AH24" i="12"/>
  <c r="AI24" i="12"/>
  <c r="AG24" i="12"/>
  <c r="AQ22" i="11"/>
  <c r="AU22" i="11" s="1"/>
  <c r="AX22" i="11" s="1"/>
  <c r="BB22" i="11" s="1"/>
  <c r="BJ22" i="11" s="1"/>
  <c r="S25" i="12"/>
  <c r="Q23" i="11"/>
  <c r="M22" i="11"/>
  <c r="BK23" i="10"/>
  <c r="BM23" i="10" s="1"/>
  <c r="AH24" i="10"/>
  <c r="AG24" i="10"/>
  <c r="AI24" i="10"/>
  <c r="S25" i="10"/>
  <c r="AQ22" i="9"/>
  <c r="AU22" i="9" s="1"/>
  <c r="Q23" i="9"/>
  <c r="M22" i="9"/>
  <c r="BK17" i="1"/>
  <c r="BM17" i="1" s="1"/>
  <c r="BO17" i="1" s="1"/>
  <c r="AG18" i="1"/>
  <c r="AI18" i="1"/>
  <c r="AH18" i="1"/>
  <c r="O17" i="1"/>
  <c r="T17" i="1"/>
  <c r="W40" i="1"/>
  <c r="I41" i="1" s="1"/>
  <c r="H39" i="1"/>
  <c r="AA40" i="1"/>
  <c r="AC40" i="1" s="1"/>
  <c r="AD40" i="1" l="1"/>
  <c r="AE40" i="1" s="1"/>
  <c r="Y41" i="1"/>
  <c r="G41" i="1"/>
  <c r="G40" i="1"/>
  <c r="AY22" i="11"/>
  <c r="BC22" i="11" s="1"/>
  <c r="BK22" i="11" s="1"/>
  <c r="N25" i="12"/>
  <c r="BO23" i="12"/>
  <c r="BN23" i="12"/>
  <c r="AW22" i="11"/>
  <c r="BA22" i="11" s="1"/>
  <c r="AO24" i="12"/>
  <c r="AW22" i="9"/>
  <c r="BA22" i="9" s="1"/>
  <c r="N25" i="10"/>
  <c r="BO23" i="10"/>
  <c r="BN23" i="10"/>
  <c r="AX22" i="9"/>
  <c r="BB22" i="9" s="1"/>
  <c r="BJ22" i="9" s="1"/>
  <c r="AO24" i="10"/>
  <c r="BN17" i="1"/>
  <c r="Q17" i="1"/>
  <c r="M16" i="1"/>
  <c r="Z41" i="1"/>
  <c r="J41" i="1"/>
  <c r="H41" i="1" s="1"/>
  <c r="AH23" i="11" l="1"/>
  <c r="T25" i="12"/>
  <c r="L24" i="12"/>
  <c r="L24" i="10"/>
  <c r="AI23" i="11"/>
  <c r="AG23" i="11"/>
  <c r="AO23" i="11" s="1"/>
  <c r="AY22" i="9"/>
  <c r="BC22" i="9" s="1"/>
  <c r="BK22" i="9" s="1"/>
  <c r="BI22" i="11"/>
  <c r="BM22" i="11" s="1"/>
  <c r="S24" i="11"/>
  <c r="AP24" i="12"/>
  <c r="AT24" i="12" s="1"/>
  <c r="AS24" i="12"/>
  <c r="O25" i="12"/>
  <c r="BI22" i="9"/>
  <c r="O25" i="10"/>
  <c r="AP24" i="10"/>
  <c r="AT24" i="10" s="1"/>
  <c r="AS24" i="10"/>
  <c r="T25" i="10"/>
  <c r="AO18" i="1"/>
  <c r="BE18" i="1"/>
  <c r="BF18" i="1"/>
  <c r="W41" i="1"/>
  <c r="H40" i="1"/>
  <c r="AA41" i="1"/>
  <c r="AD41" i="1" s="1"/>
  <c r="AC41" i="1" l="1"/>
  <c r="AE41" i="1" s="1"/>
  <c r="AG23" i="9"/>
  <c r="AO23" i="9" s="1"/>
  <c r="BM22" i="9"/>
  <c r="AI23" i="9"/>
  <c r="S24" i="9"/>
  <c r="AH23" i="9"/>
  <c r="AQ24" i="12"/>
  <c r="AU24" i="12" s="1"/>
  <c r="AY24" i="12" s="1"/>
  <c r="BC24" i="12" s="1"/>
  <c r="Q25" i="12"/>
  <c r="M24" i="12"/>
  <c r="AP23" i="11"/>
  <c r="AT23" i="11" s="1"/>
  <c r="AS23" i="11"/>
  <c r="N24" i="11"/>
  <c r="BO22" i="11"/>
  <c r="BN22" i="11"/>
  <c r="AQ24" i="10"/>
  <c r="AU24" i="10" s="1"/>
  <c r="AW24" i="10" s="1"/>
  <c r="BA24" i="10" s="1"/>
  <c r="Q25" i="10"/>
  <c r="M24" i="10"/>
  <c r="N24" i="9"/>
  <c r="BO22" i="9"/>
  <c r="BN22" i="9"/>
  <c r="AS23" i="9"/>
  <c r="BG18" i="1"/>
  <c r="AS18" i="1"/>
  <c r="AP18" i="1"/>
  <c r="AT18" i="1" s="1"/>
  <c r="AP23" i="9" l="1"/>
  <c r="AT23" i="9" s="1"/>
  <c r="L23" i="9"/>
  <c r="L23" i="11"/>
  <c r="BK24" i="12"/>
  <c r="AW24" i="12"/>
  <c r="BA24" i="12" s="1"/>
  <c r="AX24" i="12"/>
  <c r="BB24" i="12" s="1"/>
  <c r="BJ24" i="12" s="1"/>
  <c r="O24" i="11"/>
  <c r="T24" i="11"/>
  <c r="AX24" i="10"/>
  <c r="BB24" i="10" s="1"/>
  <c r="BJ24" i="10" s="1"/>
  <c r="AQ23" i="11"/>
  <c r="AU23" i="11" s="1"/>
  <c r="AY23" i="11" s="1"/>
  <c r="BC23" i="11" s="1"/>
  <c r="BI24" i="10"/>
  <c r="AQ23" i="9"/>
  <c r="AU23" i="9" s="1"/>
  <c r="AX23" i="9" s="1"/>
  <c r="BB23" i="9" s="1"/>
  <c r="BJ23" i="9" s="1"/>
  <c r="O24" i="9"/>
  <c r="T24" i="9"/>
  <c r="AQ18" i="1"/>
  <c r="AU18" i="1" s="1"/>
  <c r="AX18" i="1" s="1"/>
  <c r="BB18" i="1" s="1"/>
  <c r="BJ18" i="1" s="1"/>
  <c r="AY24" i="10" l="1"/>
  <c r="BC24" i="10" s="1"/>
  <c r="BK24" i="10" s="1"/>
  <c r="BM24" i="10" s="1"/>
  <c r="N26" i="10" s="1"/>
  <c r="S26" i="12"/>
  <c r="BI24" i="12"/>
  <c r="BM24" i="12" s="1"/>
  <c r="AX23" i="11"/>
  <c r="BB23" i="11" s="1"/>
  <c r="BJ23" i="11" s="1"/>
  <c r="AG25" i="12"/>
  <c r="AW23" i="11"/>
  <c r="BA23" i="11" s="1"/>
  <c r="AI24" i="11" s="1"/>
  <c r="AI25" i="12"/>
  <c r="S26" i="10"/>
  <c r="AH25" i="12"/>
  <c r="AH25" i="10"/>
  <c r="AI25" i="10"/>
  <c r="AG25" i="10"/>
  <c r="AO25" i="10" s="1"/>
  <c r="AS25" i="10" s="1"/>
  <c r="BK23" i="11"/>
  <c r="Q24" i="11"/>
  <c r="M23" i="11"/>
  <c r="AW23" i="9"/>
  <c r="BA23" i="9" s="1"/>
  <c r="Q24" i="9"/>
  <c r="M23" i="9"/>
  <c r="AW18" i="1"/>
  <c r="BA18" i="1" s="1"/>
  <c r="BI18" i="1" s="1"/>
  <c r="S18" i="1"/>
  <c r="AH24" i="11" l="1"/>
  <c r="BO24" i="10"/>
  <c r="L25" i="10"/>
  <c r="BN24" i="10"/>
  <c r="BI23" i="11"/>
  <c r="BM23" i="11" s="1"/>
  <c r="AG24" i="11"/>
  <c r="AO24" i="11" s="1"/>
  <c r="AY23" i="9"/>
  <c r="BC23" i="9" s="1"/>
  <c r="BK23" i="9" s="1"/>
  <c r="BI23" i="9"/>
  <c r="AO25" i="12"/>
  <c r="AS25" i="12" s="1"/>
  <c r="T26" i="10"/>
  <c r="S25" i="11"/>
  <c r="N26" i="12"/>
  <c r="BO24" i="12"/>
  <c r="BN24" i="12"/>
  <c r="AI24" i="9"/>
  <c r="AG24" i="9"/>
  <c r="AP25" i="10"/>
  <c r="AT25" i="10" s="1"/>
  <c r="O26" i="10"/>
  <c r="AY18" i="1"/>
  <c r="BC18" i="1" s="1"/>
  <c r="N18" i="1"/>
  <c r="BM23" i="9" l="1"/>
  <c r="BO23" i="9" s="1"/>
  <c r="AH24" i="9"/>
  <c r="T18" i="1"/>
  <c r="L17" i="1"/>
  <c r="L25" i="12"/>
  <c r="S25" i="9"/>
  <c r="O26" i="12"/>
  <c r="T26" i="12"/>
  <c r="AP25" i="12"/>
  <c r="AT25" i="12" s="1"/>
  <c r="AP24" i="11"/>
  <c r="AT24" i="11" s="1"/>
  <c r="AS24" i="11"/>
  <c r="BO23" i="11"/>
  <c r="N25" i="11"/>
  <c r="BN23" i="11"/>
  <c r="AO24" i="9"/>
  <c r="AS24" i="9" s="1"/>
  <c r="N25" i="9"/>
  <c r="AQ25" i="10"/>
  <c r="AU25" i="10" s="1"/>
  <c r="AW25" i="10" s="1"/>
  <c r="BA25" i="10" s="1"/>
  <c r="BN23" i="9"/>
  <c r="Q26" i="10"/>
  <c r="M25" i="10"/>
  <c r="BK18" i="1"/>
  <c r="BM18" i="1" s="1"/>
  <c r="BO18" i="1" s="1"/>
  <c r="AI19" i="1"/>
  <c r="AH19" i="1"/>
  <c r="AG19" i="1"/>
  <c r="O18" i="1"/>
  <c r="L24" i="9" l="1"/>
  <c r="L24" i="11"/>
  <c r="T25" i="9"/>
  <c r="AQ25" i="12"/>
  <c r="AU25" i="12" s="1"/>
  <c r="AW25" i="12" s="1"/>
  <c r="BA25" i="12" s="1"/>
  <c r="BI25" i="12" s="1"/>
  <c r="Q26" i="12"/>
  <c r="M25" i="12"/>
  <c r="AP24" i="9"/>
  <c r="AT24" i="9" s="1"/>
  <c r="O25" i="9"/>
  <c r="M24" i="9" s="1"/>
  <c r="O25" i="11"/>
  <c r="T25" i="11"/>
  <c r="AQ24" i="11"/>
  <c r="AU24" i="11" s="1"/>
  <c r="AY24" i="11" s="1"/>
  <c r="BC24" i="11" s="1"/>
  <c r="BI25" i="10"/>
  <c r="AX25" i="10"/>
  <c r="BB25" i="10" s="1"/>
  <c r="BJ25" i="10" s="1"/>
  <c r="BN18" i="1"/>
  <c r="Q18" i="1"/>
  <c r="M17" i="1"/>
  <c r="AQ24" i="9" l="1"/>
  <c r="AU24" i="9" s="1"/>
  <c r="AW24" i="9" s="1"/>
  <c r="BA24" i="9" s="1"/>
  <c r="BI24" i="9" s="1"/>
  <c r="Q25" i="9"/>
  <c r="AY25" i="10"/>
  <c r="BC25" i="10" s="1"/>
  <c r="S27" i="10" s="1"/>
  <c r="AX25" i="12"/>
  <c r="BB25" i="12" s="1"/>
  <c r="AY25" i="12"/>
  <c r="BC25" i="12" s="1"/>
  <c r="BK25" i="12" s="1"/>
  <c r="AI26" i="12"/>
  <c r="BK24" i="11"/>
  <c r="AW24" i="11"/>
  <c r="BA24" i="11" s="1"/>
  <c r="AX24" i="11"/>
  <c r="BB24" i="11" s="1"/>
  <c r="BJ24" i="11" s="1"/>
  <c r="Q25" i="11"/>
  <c r="M24" i="11"/>
  <c r="AX24" i="9"/>
  <c r="BB24" i="9" s="1"/>
  <c r="BJ24" i="9" s="1"/>
  <c r="BK25" i="10"/>
  <c r="BM25" i="10" s="1"/>
  <c r="AH26" i="10"/>
  <c r="AG26" i="10"/>
  <c r="AI26" i="10"/>
  <c r="BF19" i="1"/>
  <c r="BE19" i="1"/>
  <c r="AY24" i="9" l="1"/>
  <c r="BC24" i="9" s="1"/>
  <c r="BJ25" i="12"/>
  <c r="BM25" i="12" s="1"/>
  <c r="S27" i="12"/>
  <c r="AG26" i="12"/>
  <c r="AO26" i="12" s="1"/>
  <c r="AH26" i="12"/>
  <c r="S26" i="9"/>
  <c r="S26" i="11"/>
  <c r="BI24" i="11"/>
  <c r="BM24" i="11" s="1"/>
  <c r="AI25" i="11"/>
  <c r="AG25" i="11"/>
  <c r="AG25" i="9"/>
  <c r="AO25" i="9" s="1"/>
  <c r="AH25" i="11"/>
  <c r="AI25" i="9"/>
  <c r="AO26" i="10"/>
  <c r="N27" i="10"/>
  <c r="BO25" i="10"/>
  <c r="BN25" i="10"/>
  <c r="AH25" i="9"/>
  <c r="BK24" i="9"/>
  <c r="BM24" i="9" s="1"/>
  <c r="BG19" i="1"/>
  <c r="AO19" i="1"/>
  <c r="AS19" i="1" s="1"/>
  <c r="AP26" i="12" l="1"/>
  <c r="AT26" i="12" s="1"/>
  <c r="L26" i="10"/>
  <c r="AS26" i="12"/>
  <c r="N27" i="12"/>
  <c r="BN25" i="12"/>
  <c r="BO25" i="12"/>
  <c r="AQ26" i="12"/>
  <c r="AU26" i="12" s="1"/>
  <c r="AX26" i="12" s="1"/>
  <c r="BB26" i="12" s="1"/>
  <c r="BJ26" i="12" s="1"/>
  <c r="AO25" i="11"/>
  <c r="N26" i="11"/>
  <c r="BO24" i="11"/>
  <c r="BN24" i="11"/>
  <c r="AP26" i="10"/>
  <c r="AT26" i="10" s="1"/>
  <c r="AS26" i="10"/>
  <c r="O27" i="10"/>
  <c r="T27" i="10"/>
  <c r="BO24" i="9"/>
  <c r="N26" i="9"/>
  <c r="BN24" i="9"/>
  <c r="AP25" i="9"/>
  <c r="AT25" i="9" s="1"/>
  <c r="AS25" i="9"/>
  <c r="AP19" i="1"/>
  <c r="AT19" i="1" s="1"/>
  <c r="L26" i="12" l="1"/>
  <c r="L25" i="9"/>
  <c r="L25" i="11"/>
  <c r="AY26" i="12"/>
  <c r="BC26" i="12" s="1"/>
  <c r="BK26" i="12" s="1"/>
  <c r="AQ26" i="10"/>
  <c r="AU26" i="10" s="1"/>
  <c r="AX26" i="10" s="1"/>
  <c r="BB26" i="10" s="1"/>
  <c r="BJ26" i="10" s="1"/>
  <c r="T27" i="12"/>
  <c r="O27" i="12"/>
  <c r="AW26" i="12"/>
  <c r="BA26" i="12" s="1"/>
  <c r="AI27" i="12" s="1"/>
  <c r="AQ25" i="9"/>
  <c r="AU25" i="9" s="1"/>
  <c r="AX25" i="9" s="1"/>
  <c r="BB25" i="9" s="1"/>
  <c r="BJ25" i="9" s="1"/>
  <c r="O26" i="11"/>
  <c r="AP25" i="11"/>
  <c r="AT25" i="11" s="1"/>
  <c r="T26" i="11"/>
  <c r="AS25" i="11"/>
  <c r="Q27" i="10"/>
  <c r="M26" i="10"/>
  <c r="O26" i="9"/>
  <c r="T26" i="9"/>
  <c r="AQ19" i="1"/>
  <c r="AU19" i="1" s="1"/>
  <c r="AW19" i="1" s="1"/>
  <c r="BA19" i="1" s="1"/>
  <c r="BI19" i="1" s="1"/>
  <c r="AW26" i="10" l="1"/>
  <c r="BA26" i="10" s="1"/>
  <c r="AH27" i="12"/>
  <c r="AG27" i="12"/>
  <c r="AO27" i="12" s="1"/>
  <c r="AS27" i="12" s="1"/>
  <c r="AQ25" i="11"/>
  <c r="AU25" i="11" s="1"/>
  <c r="AY25" i="11" s="1"/>
  <c r="BC25" i="11" s="1"/>
  <c r="AW25" i="9"/>
  <c r="BA25" i="9" s="1"/>
  <c r="BI25" i="9" s="1"/>
  <c r="AY26" i="10"/>
  <c r="BC26" i="10" s="1"/>
  <c r="BK26" i="10" s="1"/>
  <c r="BI26" i="12"/>
  <c r="BM26" i="12" s="1"/>
  <c r="BO26" i="12" s="1"/>
  <c r="S28" i="12"/>
  <c r="Q27" i="12"/>
  <c r="M26" i="12"/>
  <c r="Q26" i="11"/>
  <c r="M25" i="11"/>
  <c r="BI26" i="10"/>
  <c r="Q26" i="9"/>
  <c r="M25" i="9"/>
  <c r="AX19" i="1"/>
  <c r="BB19" i="1" s="1"/>
  <c r="BJ19" i="1" s="1"/>
  <c r="S19" i="1"/>
  <c r="AH27" i="10" l="1"/>
  <c r="AW25" i="11"/>
  <c r="BA25" i="11" s="1"/>
  <c r="AX25" i="11"/>
  <c r="BB25" i="11" s="1"/>
  <c r="BJ25" i="11" s="1"/>
  <c r="S28" i="10"/>
  <c r="AG27" i="10"/>
  <c r="AO27" i="10" s="1"/>
  <c r="AI27" i="10"/>
  <c r="BN26" i="12"/>
  <c r="N28" i="12"/>
  <c r="AY25" i="9"/>
  <c r="BC25" i="9" s="1"/>
  <c r="AP27" i="12"/>
  <c r="AT27" i="12" s="1"/>
  <c r="S27" i="11"/>
  <c r="BI25" i="11"/>
  <c r="BM26" i="10"/>
  <c r="BO26" i="10" s="1"/>
  <c r="BK25" i="11"/>
  <c r="AI26" i="11"/>
  <c r="AH26" i="11"/>
  <c r="AY19" i="1"/>
  <c r="BC19" i="1" s="1"/>
  <c r="N19" i="1"/>
  <c r="AG26" i="11" l="1"/>
  <c r="AO26" i="11" s="1"/>
  <c r="L18" i="1"/>
  <c r="L27" i="12"/>
  <c r="T28" i="12"/>
  <c r="O28" i="12"/>
  <c r="M27" i="12" s="1"/>
  <c r="S27" i="9"/>
  <c r="BK25" i="9"/>
  <c r="BM25" i="9" s="1"/>
  <c r="BO25" i="9" s="1"/>
  <c r="AH26" i="9"/>
  <c r="AI26" i="9"/>
  <c r="AG26" i="9"/>
  <c r="AO26" i="9" s="1"/>
  <c r="BN26" i="10"/>
  <c r="AQ27" i="12"/>
  <c r="AU27" i="12" s="1"/>
  <c r="AW27" i="12" s="1"/>
  <c r="BA27" i="12" s="1"/>
  <c r="BI27" i="12" s="1"/>
  <c r="N28" i="10"/>
  <c r="BM25" i="11"/>
  <c r="AP27" i="10"/>
  <c r="AT27" i="10" s="1"/>
  <c r="AS27" i="10"/>
  <c r="BK19" i="1"/>
  <c r="BM19" i="1" s="1"/>
  <c r="BO19" i="1" s="1"/>
  <c r="AG20" i="1"/>
  <c r="AI20" i="1"/>
  <c r="AH20" i="1"/>
  <c r="T19" i="1"/>
  <c r="O19" i="1"/>
  <c r="AP26" i="9" l="1"/>
  <c r="AT26" i="9" s="1"/>
  <c r="BN25" i="9"/>
  <c r="N27" i="9"/>
  <c r="T27" i="9" s="1"/>
  <c r="Q28" i="12"/>
  <c r="L27" i="10"/>
  <c r="AX27" i="12"/>
  <c r="BB27" i="12" s="1"/>
  <c r="BJ27" i="12" s="1"/>
  <c r="AS26" i="9"/>
  <c r="AQ26" i="9"/>
  <c r="AU26" i="9" s="1"/>
  <c r="AW26" i="9" s="1"/>
  <c r="BA26" i="9" s="1"/>
  <c r="O28" i="10"/>
  <c r="M27" i="10" s="1"/>
  <c r="AY27" i="12"/>
  <c r="BC27" i="12" s="1"/>
  <c r="T28" i="10"/>
  <c r="AP26" i="11"/>
  <c r="AT26" i="11" s="1"/>
  <c r="BO25" i="11"/>
  <c r="N27" i="11"/>
  <c r="BN25" i="11"/>
  <c r="AS26" i="11"/>
  <c r="AQ27" i="10"/>
  <c r="AU27" i="10" s="1"/>
  <c r="BN19" i="1"/>
  <c r="Q19" i="1"/>
  <c r="M18" i="1"/>
  <c r="AX26" i="9" l="1"/>
  <c r="BB26" i="9" s="1"/>
  <c r="BJ26" i="9" s="1"/>
  <c r="AQ26" i="11"/>
  <c r="AU26" i="11" s="1"/>
  <c r="AW26" i="11" s="1"/>
  <c r="BA26" i="11" s="1"/>
  <c r="AH28" i="12"/>
  <c r="O27" i="9"/>
  <c r="Q27" i="9" s="1"/>
  <c r="L26" i="9"/>
  <c r="L26" i="11"/>
  <c r="Q28" i="10"/>
  <c r="AY26" i="9"/>
  <c r="BC26" i="9" s="1"/>
  <c r="S28" i="9" s="1"/>
  <c r="AG28" i="12"/>
  <c r="AO28" i="12" s="1"/>
  <c r="AS28" i="12" s="1"/>
  <c r="AI28" i="12"/>
  <c r="BK27" i="12"/>
  <c r="BM27" i="12" s="1"/>
  <c r="S29" i="12"/>
  <c r="O27" i="11"/>
  <c r="T27" i="11"/>
  <c r="AW27" i="10"/>
  <c r="BA27" i="10" s="1"/>
  <c r="AX27" i="10"/>
  <c r="BB27" i="10" s="1"/>
  <c r="BJ27" i="10" s="1"/>
  <c r="BI26" i="9"/>
  <c r="AO20" i="1"/>
  <c r="BE20" i="1"/>
  <c r="BF20" i="1"/>
  <c r="AX26" i="11" l="1"/>
  <c r="BB26" i="11" s="1"/>
  <c r="BJ26" i="11" s="1"/>
  <c r="AY26" i="11"/>
  <c r="BC26" i="11" s="1"/>
  <c r="AI27" i="11" s="1"/>
  <c r="AH27" i="9"/>
  <c r="AI27" i="9"/>
  <c r="AG27" i="9"/>
  <c r="AO27" i="9" s="1"/>
  <c r="BK26" i="9"/>
  <c r="AP28" i="12"/>
  <c r="AQ28" i="12" s="1"/>
  <c r="AU28" i="12" s="1"/>
  <c r="M26" i="9"/>
  <c r="AY27" i="10"/>
  <c r="BC27" i="10" s="1"/>
  <c r="BK27" i="10" s="1"/>
  <c r="N29" i="12"/>
  <c r="BO27" i="12"/>
  <c r="BN27" i="12"/>
  <c r="S28" i="11"/>
  <c r="BI26" i="11"/>
  <c r="BK26" i="11"/>
  <c r="AH27" i="11"/>
  <c r="Q27" i="11"/>
  <c r="M26" i="11"/>
  <c r="BI27" i="10"/>
  <c r="AI28" i="10"/>
  <c r="BM26" i="9"/>
  <c r="BG20" i="1"/>
  <c r="AS20" i="1"/>
  <c r="AP20" i="1"/>
  <c r="AT20" i="1" s="1"/>
  <c r="AG27" i="11" l="1"/>
  <c r="AH28" i="10"/>
  <c r="AG28" i="10"/>
  <c r="S29" i="10"/>
  <c r="BM27" i="10"/>
  <c r="BO27" i="10" s="1"/>
  <c r="AT28" i="12"/>
  <c r="L28" i="12"/>
  <c r="T29" i="12"/>
  <c r="O29" i="12"/>
  <c r="AO27" i="11"/>
  <c r="BM26" i="11"/>
  <c r="AO28" i="10"/>
  <c r="AS28" i="10" s="1"/>
  <c r="N29" i="10"/>
  <c r="BN27" i="10"/>
  <c r="AP27" i="9"/>
  <c r="AT27" i="9" s="1"/>
  <c r="AS27" i="9"/>
  <c r="BO26" i="9"/>
  <c r="N28" i="9"/>
  <c r="BN26" i="9"/>
  <c r="AQ20" i="1"/>
  <c r="AU20" i="1" s="1"/>
  <c r="AX20" i="1" s="1"/>
  <c r="BB20" i="1" s="1"/>
  <c r="BJ20" i="1" s="1"/>
  <c r="AW28" i="12" l="1"/>
  <c r="BA28" i="12" s="1"/>
  <c r="AY28" i="12"/>
  <c r="BC28" i="12" s="1"/>
  <c r="BK28" i="12" s="1"/>
  <c r="AX28" i="12"/>
  <c r="BB28" i="12" s="1"/>
  <c r="BJ28" i="12" s="1"/>
  <c r="L27" i="9"/>
  <c r="T29" i="10"/>
  <c r="L28" i="10"/>
  <c r="M28" i="12"/>
  <c r="Q29" i="12"/>
  <c r="N28" i="11"/>
  <c r="BO26" i="11"/>
  <c r="BN26" i="11"/>
  <c r="AP27" i="11"/>
  <c r="AT27" i="11" s="1"/>
  <c r="AS27" i="11"/>
  <c r="O29" i="10"/>
  <c r="AP28" i="10"/>
  <c r="AT28" i="10" s="1"/>
  <c r="O28" i="9"/>
  <c r="T28" i="9"/>
  <c r="AQ27" i="9"/>
  <c r="AU27" i="9" s="1"/>
  <c r="AW20" i="1"/>
  <c r="BA20" i="1" s="1"/>
  <c r="BI20" i="1" s="1"/>
  <c r="S20" i="1"/>
  <c r="AG29" i="12" l="1"/>
  <c r="AO29" i="12" s="1"/>
  <c r="BI28" i="12"/>
  <c r="BM28" i="12" s="1"/>
  <c r="S30" i="12"/>
  <c r="AH29" i="12"/>
  <c r="AI29" i="12"/>
  <c r="L27" i="11"/>
  <c r="AS29" i="12"/>
  <c r="AQ27" i="11"/>
  <c r="AU27" i="11" s="1"/>
  <c r="AY27" i="11" s="1"/>
  <c r="BC27" i="11" s="1"/>
  <c r="O28" i="11"/>
  <c r="T28" i="11"/>
  <c r="AQ28" i="10"/>
  <c r="AU28" i="10" s="1"/>
  <c r="AX28" i="10" s="1"/>
  <c r="BB28" i="10" s="1"/>
  <c r="BJ28" i="10" s="1"/>
  <c r="Q29" i="10"/>
  <c r="M28" i="10"/>
  <c r="AX27" i="9"/>
  <c r="BB27" i="9" s="1"/>
  <c r="BJ27" i="9" s="1"/>
  <c r="Q28" i="9"/>
  <c r="M27" i="9"/>
  <c r="AW27" i="9"/>
  <c r="BA27" i="9" s="1"/>
  <c r="AY20" i="1"/>
  <c r="BC20" i="1" s="1"/>
  <c r="N20" i="1"/>
  <c r="AP29" i="12" l="1"/>
  <c r="AT29" i="12" s="1"/>
  <c r="N30" i="12"/>
  <c r="BO28" i="12"/>
  <c r="BN28" i="12"/>
  <c r="T20" i="1"/>
  <c r="L19" i="1"/>
  <c r="AY27" i="9"/>
  <c r="BC27" i="9" s="1"/>
  <c r="BK27" i="9" s="1"/>
  <c r="AQ29" i="12"/>
  <c r="AU29" i="12" s="1"/>
  <c r="AX29" i="12" s="1"/>
  <c r="BB29" i="12" s="1"/>
  <c r="BJ29" i="12" s="1"/>
  <c r="BK27" i="11"/>
  <c r="Q28" i="11"/>
  <c r="M27" i="11"/>
  <c r="AW27" i="11"/>
  <c r="BA27" i="11" s="1"/>
  <c r="AW28" i="10"/>
  <c r="AX27" i="11"/>
  <c r="BB27" i="11" s="1"/>
  <c r="BJ27" i="11" s="1"/>
  <c r="AG28" i="9"/>
  <c r="AH28" i="9"/>
  <c r="BI27" i="9"/>
  <c r="BK20" i="1"/>
  <c r="BM20" i="1" s="1"/>
  <c r="BO20" i="1" s="1"/>
  <c r="AI21" i="1"/>
  <c r="AH21" i="1"/>
  <c r="AG21" i="1"/>
  <c r="O20" i="1"/>
  <c r="AI28" i="9" l="1"/>
  <c r="S29" i="9"/>
  <c r="AI28" i="11"/>
  <c r="T30" i="12"/>
  <c r="O30" i="12"/>
  <c r="L29" i="12"/>
  <c r="BM27" i="9"/>
  <c r="BN27" i="9" s="1"/>
  <c r="BA28" i="10"/>
  <c r="AY28" i="10"/>
  <c r="BC28" i="10" s="1"/>
  <c r="BK28" i="10" s="1"/>
  <c r="AW29" i="12"/>
  <c r="BA29" i="12" s="1"/>
  <c r="AY29" i="12"/>
  <c r="BC29" i="12" s="1"/>
  <c r="S29" i="11"/>
  <c r="BI27" i="11"/>
  <c r="BM27" i="11" s="1"/>
  <c r="AG28" i="11"/>
  <c r="AH28" i="11"/>
  <c r="AO28" i="9"/>
  <c r="BN20" i="1"/>
  <c r="Q20" i="1"/>
  <c r="M19" i="1"/>
  <c r="N29" i="9" l="1"/>
  <c r="O29" i="9" s="1"/>
  <c r="BO27" i="9"/>
  <c r="Q30" i="12"/>
  <c r="M29" i="12"/>
  <c r="AH29" i="10"/>
  <c r="BI28" i="10"/>
  <c r="BM28" i="10" s="1"/>
  <c r="BO28" i="10" s="1"/>
  <c r="AI29" i="10"/>
  <c r="S30" i="10"/>
  <c r="AG29" i="10"/>
  <c r="AO29" i="10" s="1"/>
  <c r="BK29" i="12"/>
  <c r="AI30" i="12"/>
  <c r="AG30" i="12"/>
  <c r="AH30" i="12"/>
  <c r="BI29" i="12"/>
  <c r="S31" i="12"/>
  <c r="AO28" i="11"/>
  <c r="BO27" i="11"/>
  <c r="N29" i="11"/>
  <c r="BN27" i="11"/>
  <c r="AP28" i="9"/>
  <c r="AT28" i="9" s="1"/>
  <c r="AS28" i="9"/>
  <c r="BF21" i="1"/>
  <c r="BE21" i="1"/>
  <c r="T29" i="9" l="1"/>
  <c r="L28" i="9"/>
  <c r="AP29" i="10"/>
  <c r="AT29" i="10" s="1"/>
  <c r="N30" i="10"/>
  <c r="L29" i="10" s="1"/>
  <c r="L28" i="11"/>
  <c r="BN28" i="10"/>
  <c r="BM29" i="12"/>
  <c r="BO29" i="12" s="1"/>
  <c r="AS29" i="10"/>
  <c r="AO30" i="12"/>
  <c r="AS30" i="12" s="1"/>
  <c r="O29" i="11"/>
  <c r="T29" i="11"/>
  <c r="AP28" i="11"/>
  <c r="AT28" i="11" s="1"/>
  <c r="AS28" i="11"/>
  <c r="AQ29" i="10"/>
  <c r="AU29" i="10" s="1"/>
  <c r="Q29" i="9"/>
  <c r="M28" i="9"/>
  <c r="AQ28" i="9"/>
  <c r="AU28" i="9" s="1"/>
  <c r="AX28" i="9" s="1"/>
  <c r="BB28" i="9" s="1"/>
  <c r="BJ28" i="9" s="1"/>
  <c r="BG21" i="1"/>
  <c r="AO21" i="1"/>
  <c r="AS21" i="1" s="1"/>
  <c r="BN29" i="12" l="1"/>
  <c r="N31" i="12"/>
  <c r="T30" i="10"/>
  <c r="O30" i="10"/>
  <c r="Q30" i="10" s="1"/>
  <c r="L30" i="12"/>
  <c r="O31" i="12"/>
  <c r="AP30" i="12"/>
  <c r="AT30" i="12" s="1"/>
  <c r="T31" i="12"/>
  <c r="AQ28" i="11"/>
  <c r="AU28" i="11" s="1"/>
  <c r="AW28" i="11" s="1"/>
  <c r="BA28" i="11" s="1"/>
  <c r="Q29" i="11"/>
  <c r="M28" i="11"/>
  <c r="AX29" i="10"/>
  <c r="BB29" i="10" s="1"/>
  <c r="BJ29" i="10" s="1"/>
  <c r="AW29" i="10"/>
  <c r="BA29" i="10" s="1"/>
  <c r="AW28" i="9"/>
  <c r="BA28" i="9" s="1"/>
  <c r="AY28" i="9"/>
  <c r="BC28" i="9" s="1"/>
  <c r="AP21" i="1"/>
  <c r="AT21" i="1" s="1"/>
  <c r="M29" i="10" l="1"/>
  <c r="AY29" i="10"/>
  <c r="BC29" i="10" s="1"/>
  <c r="BK29" i="10" s="1"/>
  <c r="Q31" i="12"/>
  <c r="M30" i="12"/>
  <c r="AQ30" i="12"/>
  <c r="AU30" i="12" s="1"/>
  <c r="AX30" i="12" s="1"/>
  <c r="BB30" i="12" s="1"/>
  <c r="BJ30" i="12" s="1"/>
  <c r="BI28" i="11"/>
  <c r="AX28" i="11"/>
  <c r="BB28" i="11" s="1"/>
  <c r="BJ28" i="11" s="1"/>
  <c r="AY28" i="11"/>
  <c r="BC28" i="11" s="1"/>
  <c r="BI29" i="10"/>
  <c r="S31" i="10"/>
  <c r="AH30" i="10"/>
  <c r="BK28" i="9"/>
  <c r="AH29" i="9"/>
  <c r="AG29" i="9"/>
  <c r="AI29" i="9"/>
  <c r="BI28" i="9"/>
  <c r="S30" i="9"/>
  <c r="AQ21" i="1"/>
  <c r="AU21" i="1" s="1"/>
  <c r="AX21" i="1" s="1"/>
  <c r="BB21" i="1" s="1"/>
  <c r="BJ21" i="1" s="1"/>
  <c r="BM29" i="10" l="1"/>
  <c r="AG30" i="10"/>
  <c r="AW30" i="12"/>
  <c r="BA30" i="12" s="1"/>
  <c r="BI30" i="12" s="1"/>
  <c r="AI30" i="10"/>
  <c r="AY30" i="12"/>
  <c r="BC30" i="12" s="1"/>
  <c r="BK28" i="11"/>
  <c r="BM28" i="11" s="1"/>
  <c r="AH29" i="11"/>
  <c r="AG29" i="11"/>
  <c r="AI29" i="11"/>
  <c r="S30" i="11"/>
  <c r="BO29" i="10"/>
  <c r="N31" i="10"/>
  <c r="BN29" i="10"/>
  <c r="AO30" i="10"/>
  <c r="AS30" i="10" s="1"/>
  <c r="BM28" i="9"/>
  <c r="BO28" i="9" s="1"/>
  <c r="AO29" i="9"/>
  <c r="AW21" i="1"/>
  <c r="BA21" i="1" s="1"/>
  <c r="BI21" i="1" s="1"/>
  <c r="S32" i="12" l="1"/>
  <c r="L30" i="10"/>
  <c r="N30" i="9"/>
  <c r="BN28" i="9"/>
  <c r="BK30" i="12"/>
  <c r="BM30" i="12" s="1"/>
  <c r="AH31" i="12"/>
  <c r="AG31" i="12"/>
  <c r="AI31" i="12"/>
  <c r="N30" i="11"/>
  <c r="BO28" i="11"/>
  <c r="BN28" i="11"/>
  <c r="AO29" i="11"/>
  <c r="AS29" i="11" s="1"/>
  <c r="O31" i="10"/>
  <c r="T31" i="10"/>
  <c r="AP30" i="10"/>
  <c r="AT30" i="10" s="1"/>
  <c r="AP29" i="9"/>
  <c r="AT29" i="9" s="1"/>
  <c r="AS29" i="9"/>
  <c r="AY21" i="1"/>
  <c r="BC21" i="1" s="1"/>
  <c r="S21" i="1"/>
  <c r="L29" i="9" l="1"/>
  <c r="O30" i="9"/>
  <c r="Q30" i="9" s="1"/>
  <c r="T30" i="9"/>
  <c r="T30" i="11"/>
  <c r="L29" i="11"/>
  <c r="AQ29" i="9"/>
  <c r="AU29" i="9" s="1"/>
  <c r="AW29" i="9" s="1"/>
  <c r="BA29" i="9" s="1"/>
  <c r="AO31" i="12"/>
  <c r="BO30" i="12"/>
  <c r="N32" i="12"/>
  <c r="BN30" i="12"/>
  <c r="O30" i="11"/>
  <c r="AP29" i="11"/>
  <c r="AT29" i="11" s="1"/>
  <c r="AQ30" i="10"/>
  <c r="AU30" i="10" s="1"/>
  <c r="AW30" i="10" s="1"/>
  <c r="BA30" i="10" s="1"/>
  <c r="BI30" i="10" s="1"/>
  <c r="Q31" i="10"/>
  <c r="M30" i="10"/>
  <c r="AX29" i="9"/>
  <c r="BB29" i="9" s="1"/>
  <c r="BJ29" i="9" s="1"/>
  <c r="BK21" i="1"/>
  <c r="BM21" i="1" s="1"/>
  <c r="BO21" i="1" s="1"/>
  <c r="AH22" i="1"/>
  <c r="AG22" i="1"/>
  <c r="AI22" i="1"/>
  <c r="N21" i="1"/>
  <c r="M29" i="9" l="1"/>
  <c r="L20" i="1"/>
  <c r="L31" i="12"/>
  <c r="AY29" i="9"/>
  <c r="BC29" i="9" s="1"/>
  <c r="AI30" i="9" s="1"/>
  <c r="AQ29" i="11"/>
  <c r="AU29" i="11" s="1"/>
  <c r="AY29" i="11" s="1"/>
  <c r="BC29" i="11" s="1"/>
  <c r="BK29" i="11" s="1"/>
  <c r="O32" i="12"/>
  <c r="T32" i="12"/>
  <c r="AP31" i="12"/>
  <c r="AT31" i="12" s="1"/>
  <c r="AX30" i="10"/>
  <c r="BB30" i="10" s="1"/>
  <c r="BJ30" i="10" s="1"/>
  <c r="AS31" i="12"/>
  <c r="Q30" i="11"/>
  <c r="M29" i="11"/>
  <c r="BI29" i="9"/>
  <c r="S31" i="9"/>
  <c r="BK29" i="9"/>
  <c r="AH30" i="9"/>
  <c r="BN21" i="1"/>
  <c r="O21" i="1"/>
  <c r="T21" i="1"/>
  <c r="AW29" i="11" l="1"/>
  <c r="BA29" i="11" s="1"/>
  <c r="AG30" i="9"/>
  <c r="AO30" i="9" s="1"/>
  <c r="AY30" i="10"/>
  <c r="BC30" i="10" s="1"/>
  <c r="AQ31" i="12"/>
  <c r="AU31" i="12" s="1"/>
  <c r="AY31" i="12" s="1"/>
  <c r="BC31" i="12" s="1"/>
  <c r="Q32" i="12"/>
  <c r="M31" i="12"/>
  <c r="AX31" i="12"/>
  <c r="BB31" i="12" s="1"/>
  <c r="BJ31" i="12" s="1"/>
  <c r="AW31" i="12"/>
  <c r="BA31" i="12" s="1"/>
  <c r="AX29" i="11"/>
  <c r="BB29" i="11" s="1"/>
  <c r="BJ29" i="11" s="1"/>
  <c r="BI29" i="11"/>
  <c r="BM29" i="9"/>
  <c r="Q21" i="1"/>
  <c r="M20" i="1"/>
  <c r="BK30" i="10" l="1"/>
  <c r="BM30" i="10" s="1"/>
  <c r="BN30" i="10" s="1"/>
  <c r="AG31" i="10"/>
  <c r="AO31" i="10" s="1"/>
  <c r="AI31" i="10"/>
  <c r="S32" i="10"/>
  <c r="AH31" i="10"/>
  <c r="AP31" i="10" s="1"/>
  <c r="AT31" i="10" s="1"/>
  <c r="S33" i="12"/>
  <c r="BI31" i="12"/>
  <c r="AG30" i="11"/>
  <c r="AO30" i="11" s="1"/>
  <c r="AI30" i="11"/>
  <c r="S31" i="11"/>
  <c r="BK31" i="12"/>
  <c r="AG32" i="12"/>
  <c r="AH32" i="12"/>
  <c r="AI32" i="12"/>
  <c r="AH30" i="11"/>
  <c r="BM29" i="11"/>
  <c r="N31" i="11" s="1"/>
  <c r="AS31" i="10"/>
  <c r="N31" i="9"/>
  <c r="BO29" i="9"/>
  <c r="BN29" i="9"/>
  <c r="AP30" i="9"/>
  <c r="AT30" i="9" s="1"/>
  <c r="AS30" i="9"/>
  <c r="BF22" i="1"/>
  <c r="AO22" i="1"/>
  <c r="BE22" i="1"/>
  <c r="L30" i="11" l="1"/>
  <c r="L30" i="9"/>
  <c r="BN29" i="11"/>
  <c r="BO29" i="11"/>
  <c r="BO30" i="10"/>
  <c r="N32" i="10"/>
  <c r="AO32" i="12"/>
  <c r="BM31" i="12"/>
  <c r="O31" i="11"/>
  <c r="AP30" i="11"/>
  <c r="AT30" i="11" s="1"/>
  <c r="T31" i="11"/>
  <c r="AS30" i="11"/>
  <c r="AQ31" i="10"/>
  <c r="AU31" i="10" s="1"/>
  <c r="AX31" i="10" s="1"/>
  <c r="BB31" i="10" s="1"/>
  <c r="BJ31" i="10" s="1"/>
  <c r="AQ30" i="9"/>
  <c r="AU30" i="9" s="1"/>
  <c r="O31" i="9"/>
  <c r="T31" i="9"/>
  <c r="BG22" i="1"/>
  <c r="AS22" i="1"/>
  <c r="AP22" i="1"/>
  <c r="AT22" i="1" s="1"/>
  <c r="L31" i="10" l="1"/>
  <c r="O32" i="10"/>
  <c r="T32" i="10"/>
  <c r="AP32" i="12"/>
  <c r="AT32" i="12" s="1"/>
  <c r="AS32" i="12"/>
  <c r="N33" i="12"/>
  <c r="BO31" i="12"/>
  <c r="BN31" i="12"/>
  <c r="AQ30" i="11"/>
  <c r="AU30" i="11" s="1"/>
  <c r="AX30" i="11" s="1"/>
  <c r="BB30" i="11" s="1"/>
  <c r="BJ30" i="11" s="1"/>
  <c r="Q31" i="11"/>
  <c r="M30" i="11"/>
  <c r="AX30" i="9"/>
  <c r="BB30" i="9" s="1"/>
  <c r="BJ30" i="9" s="1"/>
  <c r="AW30" i="9"/>
  <c r="BA30" i="9" s="1"/>
  <c r="AW31" i="10"/>
  <c r="BA31" i="10" s="1"/>
  <c r="Q31" i="9"/>
  <c r="M30" i="9"/>
  <c r="AQ22" i="1"/>
  <c r="AU22" i="1" s="1"/>
  <c r="AX22" i="1" s="1"/>
  <c r="BB22" i="1" s="1"/>
  <c r="BJ22" i="1" s="1"/>
  <c r="L32" i="12" l="1"/>
  <c r="AQ32" i="12"/>
  <c r="AU32" i="12" s="1"/>
  <c r="AY30" i="9"/>
  <c r="BC30" i="9" s="1"/>
  <c r="BK30" i="9" s="1"/>
  <c r="AY31" i="10"/>
  <c r="BC31" i="10" s="1"/>
  <c r="S33" i="10" s="1"/>
  <c r="Q32" i="10"/>
  <c r="M31" i="10"/>
  <c r="BI30" i="9"/>
  <c r="AG31" i="9"/>
  <c r="AO31" i="9" s="1"/>
  <c r="AS31" i="9" s="1"/>
  <c r="O33" i="12"/>
  <c r="T33" i="12"/>
  <c r="AY30" i="11"/>
  <c r="BC30" i="11" s="1"/>
  <c r="BK30" i="11" s="1"/>
  <c r="AW30" i="11"/>
  <c r="BA30" i="11" s="1"/>
  <c r="AG31" i="11" s="1"/>
  <c r="AX32" i="12"/>
  <c r="BB32" i="12" s="1"/>
  <c r="BJ32" i="12" s="1"/>
  <c r="AW32" i="12"/>
  <c r="BA32" i="12" s="1"/>
  <c r="AY32" i="12"/>
  <c r="BC32" i="12" s="1"/>
  <c r="AH31" i="11"/>
  <c r="BI31" i="10"/>
  <c r="AW22" i="1"/>
  <c r="AY22" i="1" s="1"/>
  <c r="BC22" i="1" s="1"/>
  <c r="AG32" i="10" l="1"/>
  <c r="AH32" i="10"/>
  <c r="AI32" i="10"/>
  <c r="BK31" i="10"/>
  <c r="BM31" i="10" s="1"/>
  <c r="S32" i="9"/>
  <c r="AH31" i="9"/>
  <c r="AP31" i="9" s="1"/>
  <c r="AT31" i="9" s="1"/>
  <c r="BM30" i="9"/>
  <c r="BO30" i="9" s="1"/>
  <c r="N32" i="9"/>
  <c r="AI31" i="9"/>
  <c r="S32" i="11"/>
  <c r="BI30" i="11"/>
  <c r="BM30" i="11" s="1"/>
  <c r="Q33" i="12"/>
  <c r="M32" i="12"/>
  <c r="BK32" i="12"/>
  <c r="AH33" i="12"/>
  <c r="AI33" i="12"/>
  <c r="AG33" i="12"/>
  <c r="S34" i="12"/>
  <c r="BI32" i="12"/>
  <c r="AI31" i="11"/>
  <c r="AO31" i="11"/>
  <c r="AO32" i="10"/>
  <c r="AS32" i="10" s="1"/>
  <c r="BN30" i="9"/>
  <c r="BK22" i="1"/>
  <c r="BA22" i="1"/>
  <c r="BI22" i="1" s="1"/>
  <c r="S22" i="1"/>
  <c r="T32" i="9" l="1"/>
  <c r="O32" i="9"/>
  <c r="M31" i="9" s="1"/>
  <c r="L31" i="9"/>
  <c r="BM32" i="12"/>
  <c r="AO33" i="12"/>
  <c r="AS33" i="12" s="1"/>
  <c r="N32" i="11"/>
  <c r="BO30" i="11"/>
  <c r="BN30" i="11"/>
  <c r="AP31" i="11"/>
  <c r="AT31" i="11" s="1"/>
  <c r="AS31" i="11"/>
  <c r="N33" i="10"/>
  <c r="BO31" i="10"/>
  <c r="BN31" i="10"/>
  <c r="AP32" i="10"/>
  <c r="AT32" i="10" s="1"/>
  <c r="AQ31" i="9"/>
  <c r="AU31" i="9" s="1"/>
  <c r="AX31" i="9" s="1"/>
  <c r="BB31" i="9" s="1"/>
  <c r="BJ31" i="9" s="1"/>
  <c r="BM22" i="1"/>
  <c r="BN22" i="1" s="1"/>
  <c r="AH23" i="1"/>
  <c r="AI23" i="1"/>
  <c r="AG23" i="1"/>
  <c r="N22" i="1"/>
  <c r="Q32" i="9" l="1"/>
  <c r="L31" i="11"/>
  <c r="T22" i="1"/>
  <c r="L21" i="1"/>
  <c r="L32" i="10"/>
  <c r="AP33" i="12"/>
  <c r="AT33" i="12" s="1"/>
  <c r="BO32" i="12"/>
  <c r="N34" i="12"/>
  <c r="BN32" i="12"/>
  <c r="AW31" i="9"/>
  <c r="BA31" i="9" s="1"/>
  <c r="BI31" i="9" s="1"/>
  <c r="AQ31" i="11"/>
  <c r="AU31" i="11" s="1"/>
  <c r="AW31" i="11" s="1"/>
  <c r="BA31" i="11" s="1"/>
  <c r="AQ32" i="10"/>
  <c r="AU32" i="10" s="1"/>
  <c r="O32" i="11"/>
  <c r="T32" i="11"/>
  <c r="O33" i="10"/>
  <c r="T33" i="10"/>
  <c r="BO22" i="1"/>
  <c r="O22" i="1"/>
  <c r="AQ33" i="12" l="1"/>
  <c r="AU33" i="12" s="1"/>
  <c r="L33" i="12"/>
  <c r="AY31" i="11"/>
  <c r="BC31" i="11" s="1"/>
  <c r="BK31" i="11" s="1"/>
  <c r="AX31" i="11"/>
  <c r="BB31" i="11" s="1"/>
  <c r="BJ31" i="11" s="1"/>
  <c r="AY31" i="9"/>
  <c r="BC31" i="9" s="1"/>
  <c r="AH32" i="9" s="1"/>
  <c r="AY33" i="12"/>
  <c r="BC33" i="12" s="1"/>
  <c r="BK33" i="12"/>
  <c r="AG32" i="9"/>
  <c r="AO32" i="9" s="1"/>
  <c r="AS32" i="9" s="1"/>
  <c r="AW33" i="12"/>
  <c r="BA33" i="12" s="1"/>
  <c r="AX33" i="12"/>
  <c r="BB33" i="12" s="1"/>
  <c r="BJ33" i="12" s="1"/>
  <c r="AX32" i="10"/>
  <c r="BB32" i="10" s="1"/>
  <c r="BJ32" i="10" s="1"/>
  <c r="O34" i="12"/>
  <c r="T34" i="12"/>
  <c r="Q32" i="11"/>
  <c r="M31" i="11"/>
  <c r="BI31" i="11"/>
  <c r="AW32" i="10"/>
  <c r="BA32" i="10" s="1"/>
  <c r="BI32" i="10" s="1"/>
  <c r="Q33" i="10"/>
  <c r="M32" i="10"/>
  <c r="Q22" i="1"/>
  <c r="M21" i="1"/>
  <c r="AI32" i="11" l="1"/>
  <c r="AG32" i="11"/>
  <c r="AO32" i="11" s="1"/>
  <c r="AS32" i="11" s="1"/>
  <c r="AH32" i="11"/>
  <c r="S33" i="11"/>
  <c r="AI32" i="9"/>
  <c r="BK31" i="9"/>
  <c r="BM31" i="9" s="1"/>
  <c r="N33" i="9" s="1"/>
  <c r="S33" i="9"/>
  <c r="AY32" i="10"/>
  <c r="BC32" i="10" s="1"/>
  <c r="BK32" i="10" s="1"/>
  <c r="BM32" i="10" s="1"/>
  <c r="BN32" i="10" s="1"/>
  <c r="S35" i="12"/>
  <c r="BI33" i="12"/>
  <c r="BM33" i="12" s="1"/>
  <c r="Q34" i="12"/>
  <c r="M33" i="12"/>
  <c r="AI34" i="12"/>
  <c r="AH34" i="12"/>
  <c r="AG34" i="12"/>
  <c r="BM31" i="11"/>
  <c r="AP32" i="9"/>
  <c r="AT32" i="9" s="1"/>
  <c r="BE23" i="1"/>
  <c r="AO23" i="1"/>
  <c r="BF23" i="1"/>
  <c r="AH33" i="10" l="1"/>
  <c r="AI33" i="10"/>
  <c r="L32" i="9"/>
  <c r="S34" i="10"/>
  <c r="AG33" i="10"/>
  <c r="AO33" i="10" s="1"/>
  <c r="AS33" i="10" s="1"/>
  <c r="BO31" i="9"/>
  <c r="BN31" i="9"/>
  <c r="N34" i="10"/>
  <c r="BO32" i="10"/>
  <c r="O33" i="9"/>
  <c r="Q33" i="9" s="1"/>
  <c r="T33" i="9"/>
  <c r="AO34" i="12"/>
  <c r="N35" i="12"/>
  <c r="BO33" i="12"/>
  <c r="BN33" i="12"/>
  <c r="AP32" i="11"/>
  <c r="AT32" i="11" s="1"/>
  <c r="BO31" i="11"/>
  <c r="N33" i="11"/>
  <c r="BN31" i="11"/>
  <c r="AQ32" i="9"/>
  <c r="AU32" i="9" s="1"/>
  <c r="AX32" i="9" s="1"/>
  <c r="BB32" i="9" s="1"/>
  <c r="BJ32" i="9" s="1"/>
  <c r="BG23" i="1"/>
  <c r="AS23" i="1"/>
  <c r="AP23" i="1"/>
  <c r="AT23" i="1" s="1"/>
  <c r="O34" i="10" l="1"/>
  <c r="Q34" i="10" s="1"/>
  <c r="L33" i="10"/>
  <c r="L34" i="12"/>
  <c r="L32" i="11"/>
  <c r="T34" i="10"/>
  <c r="M32" i="9"/>
  <c r="AP34" i="12"/>
  <c r="AT34" i="12" s="1"/>
  <c r="O35" i="12"/>
  <c r="AS34" i="12"/>
  <c r="T35" i="12"/>
  <c r="O33" i="11"/>
  <c r="T33" i="11"/>
  <c r="AQ32" i="11"/>
  <c r="AU32" i="11" s="1"/>
  <c r="AX32" i="11" s="1"/>
  <c r="BB32" i="11" s="1"/>
  <c r="BJ32" i="11" s="1"/>
  <c r="AP33" i="10"/>
  <c r="AT33" i="10" s="1"/>
  <c r="AW32" i="9"/>
  <c r="BA32" i="9" s="1"/>
  <c r="AQ23" i="1"/>
  <c r="AU23" i="1" s="1"/>
  <c r="AX23" i="1" s="1"/>
  <c r="BB23" i="1" s="1"/>
  <c r="BJ23" i="1" s="1"/>
  <c r="M33" i="10" l="1"/>
  <c r="AY32" i="9"/>
  <c r="BC32" i="9" s="1"/>
  <c r="BK32" i="9" s="1"/>
  <c r="Q35" i="12"/>
  <c r="M34" i="12"/>
  <c r="AQ33" i="10"/>
  <c r="AU33" i="10" s="1"/>
  <c r="AW33" i="10" s="1"/>
  <c r="BA33" i="10" s="1"/>
  <c r="BI33" i="10" s="1"/>
  <c r="AQ34" i="12"/>
  <c r="AU34" i="12" s="1"/>
  <c r="AY34" i="12" s="1"/>
  <c r="BC34" i="12" s="1"/>
  <c r="AW32" i="11"/>
  <c r="BA32" i="11" s="1"/>
  <c r="Q33" i="11"/>
  <c r="M32" i="11"/>
  <c r="AY32" i="11"/>
  <c r="BC32" i="11" s="1"/>
  <c r="AI33" i="9"/>
  <c r="AG33" i="9"/>
  <c r="BI32" i="9"/>
  <c r="S34" i="9"/>
  <c r="AW23" i="1"/>
  <c r="BA23" i="1" s="1"/>
  <c r="AY23" i="1"/>
  <c r="BC23" i="1" s="1"/>
  <c r="AH33" i="9" l="1"/>
  <c r="BK34" i="12"/>
  <c r="AX33" i="10"/>
  <c r="BB33" i="10" s="1"/>
  <c r="BJ33" i="10" s="1"/>
  <c r="AW34" i="12"/>
  <c r="BA34" i="12" s="1"/>
  <c r="AX34" i="12"/>
  <c r="BB34" i="12" s="1"/>
  <c r="BJ34" i="12" s="1"/>
  <c r="BK32" i="11"/>
  <c r="AH33" i="11"/>
  <c r="AG33" i="11"/>
  <c r="AI33" i="11"/>
  <c r="BM32" i="9"/>
  <c r="N34" i="9" s="1"/>
  <c r="BI32" i="11"/>
  <c r="S34" i="11"/>
  <c r="AO33" i="9"/>
  <c r="BK23" i="1"/>
  <c r="AG24" i="1"/>
  <c r="AI24" i="1"/>
  <c r="AH24" i="1"/>
  <c r="S23" i="1"/>
  <c r="BI23" i="1"/>
  <c r="L33" i="9" l="1"/>
  <c r="BN32" i="9"/>
  <c r="BM32" i="11"/>
  <c r="BO32" i="11" s="1"/>
  <c r="AY33" i="10"/>
  <c r="BC33" i="10" s="1"/>
  <c r="AG35" i="12"/>
  <c r="AO35" i="12" s="1"/>
  <c r="BO32" i="9"/>
  <c r="AI35" i="12"/>
  <c r="AH35" i="12"/>
  <c r="S36" i="12"/>
  <c r="BI34" i="12"/>
  <c r="BM34" i="12" s="1"/>
  <c r="AO33" i="11"/>
  <c r="O34" i="9"/>
  <c r="AP33" i="9"/>
  <c r="AT33" i="9" s="1"/>
  <c r="T34" i="9"/>
  <c r="AS33" i="9"/>
  <c r="BM23" i="1"/>
  <c r="BN23" i="1" s="1"/>
  <c r="N23" i="1"/>
  <c r="BN32" i="11" l="1"/>
  <c r="N34" i="11"/>
  <c r="T34" i="11" s="1"/>
  <c r="T23" i="1"/>
  <c r="L22" i="1"/>
  <c r="BK33" i="10"/>
  <c r="BM33" i="10" s="1"/>
  <c r="BN33" i="10" s="1"/>
  <c r="AI34" i="10"/>
  <c r="S35" i="10"/>
  <c r="AG34" i="10"/>
  <c r="AO34" i="10" s="1"/>
  <c r="AH34" i="10"/>
  <c r="N36" i="12"/>
  <c r="BO34" i="12"/>
  <c r="BN34" i="12"/>
  <c r="AP35" i="12"/>
  <c r="AT35" i="12" s="1"/>
  <c r="AS35" i="12"/>
  <c r="O34" i="11"/>
  <c r="AP33" i="11"/>
  <c r="AT33" i="11" s="1"/>
  <c r="AS33" i="11"/>
  <c r="BO23" i="1"/>
  <c r="AQ33" i="9"/>
  <c r="AU33" i="9" s="1"/>
  <c r="Q34" i="9"/>
  <c r="M33" i="9"/>
  <c r="O23" i="1"/>
  <c r="L33" i="11" l="1"/>
  <c r="T36" i="12"/>
  <c r="L35" i="12"/>
  <c r="AS34" i="10"/>
  <c r="AP34" i="10"/>
  <c r="AT34" i="10" s="1"/>
  <c r="N35" i="10"/>
  <c r="BO33" i="10"/>
  <c r="AQ35" i="12"/>
  <c r="AU35" i="12" s="1"/>
  <c r="AX35" i="12" s="1"/>
  <c r="BB35" i="12" s="1"/>
  <c r="BJ35" i="12" s="1"/>
  <c r="O36" i="12"/>
  <c r="Q34" i="11"/>
  <c r="M33" i="11"/>
  <c r="AQ33" i="11"/>
  <c r="AU33" i="11" s="1"/>
  <c r="AW33" i="11" s="1"/>
  <c r="BA33" i="11" s="1"/>
  <c r="AW33" i="9"/>
  <c r="BA33" i="9" s="1"/>
  <c r="BI33" i="9" s="1"/>
  <c r="AX33" i="9"/>
  <c r="BB33" i="9" s="1"/>
  <c r="BJ33" i="9" s="1"/>
  <c r="Q23" i="1"/>
  <c r="M22" i="1"/>
  <c r="AY35" i="12" l="1"/>
  <c r="BC35" i="12" s="1"/>
  <c r="L34" i="10"/>
  <c r="AW35" i="12"/>
  <c r="BA35" i="12" s="1"/>
  <c r="S37" i="12" s="1"/>
  <c r="AY33" i="9"/>
  <c r="BC33" i="9" s="1"/>
  <c r="BK33" i="9" s="1"/>
  <c r="BM33" i="9" s="1"/>
  <c r="BN33" i="9" s="1"/>
  <c r="AQ34" i="10"/>
  <c r="AU34" i="10" s="1"/>
  <c r="AX34" i="10" s="1"/>
  <c r="BB34" i="10" s="1"/>
  <c r="BJ34" i="10" s="1"/>
  <c r="O35" i="10"/>
  <c r="T35" i="10"/>
  <c r="BK35" i="12"/>
  <c r="AI36" i="12"/>
  <c r="AG36" i="12"/>
  <c r="Q36" i="12"/>
  <c r="M35" i="12"/>
  <c r="BI33" i="11"/>
  <c r="AY33" i="11"/>
  <c r="BC33" i="11" s="1"/>
  <c r="AX33" i="11"/>
  <c r="BB33" i="11" s="1"/>
  <c r="BJ33" i="11" s="1"/>
  <c r="BG24" i="1"/>
  <c r="BF24" i="1"/>
  <c r="BE24" i="1"/>
  <c r="AW34" i="10" l="1"/>
  <c r="BA34" i="10" s="1"/>
  <c r="BI34" i="10" s="1"/>
  <c r="AH36" i="12"/>
  <c r="BI35" i="12"/>
  <c r="AH34" i="9"/>
  <c r="BO33" i="9"/>
  <c r="N35" i="9"/>
  <c r="S35" i="9"/>
  <c r="AI34" i="9"/>
  <c r="AG34" i="9"/>
  <c r="AO34" i="9" s="1"/>
  <c r="Q35" i="10"/>
  <c r="M34" i="10"/>
  <c r="AO36" i="12"/>
  <c r="BM35" i="12"/>
  <c r="BK33" i="11"/>
  <c r="BM33" i="11" s="1"/>
  <c r="AH34" i="11"/>
  <c r="AI34" i="11"/>
  <c r="AG34" i="11"/>
  <c r="S35" i="11"/>
  <c r="AO24" i="1"/>
  <c r="AS24" i="1" s="1"/>
  <c r="AY34" i="10" l="1"/>
  <c r="BC34" i="10" s="1"/>
  <c r="BK34" i="10" s="1"/>
  <c r="O35" i="9"/>
  <c r="Q35" i="9" s="1"/>
  <c r="L34" i="9"/>
  <c r="T35" i="9"/>
  <c r="AP34" i="9"/>
  <c r="AT34" i="9" s="1"/>
  <c r="AS34" i="9"/>
  <c r="AG35" i="10"/>
  <c r="AO35" i="10" s="1"/>
  <c r="AH35" i="10"/>
  <c r="BM34" i="10"/>
  <c r="BN34" i="10" s="1"/>
  <c r="AI35" i="10"/>
  <c r="S36" i="10"/>
  <c r="N37" i="12"/>
  <c r="BO35" i="12"/>
  <c r="BN35" i="12"/>
  <c r="AP36" i="12"/>
  <c r="AT36" i="12" s="1"/>
  <c r="AS36" i="12"/>
  <c r="N35" i="11"/>
  <c r="BO33" i="11"/>
  <c r="BN33" i="11"/>
  <c r="AO34" i="11"/>
  <c r="AS34" i="11" s="1"/>
  <c r="AP24" i="1"/>
  <c r="AT24" i="1" s="1"/>
  <c r="AQ34" i="9" l="1"/>
  <c r="AU34" i="9" s="1"/>
  <c r="AX34" i="9" s="1"/>
  <c r="BB34" i="9" s="1"/>
  <c r="BJ34" i="9" s="1"/>
  <c r="M34" i="9"/>
  <c r="L36" i="12"/>
  <c r="T35" i="11"/>
  <c r="L34" i="11"/>
  <c r="N36" i="10"/>
  <c r="BO34" i="10"/>
  <c r="AS35" i="10"/>
  <c r="AP35" i="10"/>
  <c r="AQ36" i="12"/>
  <c r="AU36" i="12" s="1"/>
  <c r="AY36" i="12" s="1"/>
  <c r="BC36" i="12" s="1"/>
  <c r="O37" i="12"/>
  <c r="T37" i="12"/>
  <c r="O35" i="11"/>
  <c r="AP34" i="11"/>
  <c r="AT34" i="11" s="1"/>
  <c r="AW34" i="9"/>
  <c r="BA34" i="9" s="1"/>
  <c r="AQ24" i="1"/>
  <c r="AU24" i="1" s="1"/>
  <c r="AX24" i="1" s="1"/>
  <c r="BB24" i="1" s="1"/>
  <c r="BJ24" i="1" s="1"/>
  <c r="L35" i="10" l="1"/>
  <c r="AY34" i="9"/>
  <c r="BC34" i="9" s="1"/>
  <c r="AT35" i="10"/>
  <c r="AQ35" i="10"/>
  <c r="AU35" i="10" s="1"/>
  <c r="O36" i="10"/>
  <c r="T36" i="10"/>
  <c r="BK36" i="12"/>
  <c r="Q37" i="12"/>
  <c r="M36" i="12"/>
  <c r="AW36" i="12"/>
  <c r="BA36" i="12" s="1"/>
  <c r="AX36" i="12"/>
  <c r="BB36" i="12" s="1"/>
  <c r="BJ36" i="12" s="1"/>
  <c r="Q35" i="11"/>
  <c r="M34" i="11"/>
  <c r="AQ34" i="11"/>
  <c r="AU34" i="11" s="1"/>
  <c r="AY34" i="11" s="1"/>
  <c r="BC34" i="11" s="1"/>
  <c r="BK34" i="9"/>
  <c r="AG35" i="9"/>
  <c r="AI35" i="9"/>
  <c r="AH35" i="9"/>
  <c r="S36" i="9"/>
  <c r="BI34" i="9"/>
  <c r="AW24" i="1"/>
  <c r="BA24" i="1" s="1"/>
  <c r="BI24" i="1" s="1"/>
  <c r="N24" i="1"/>
  <c r="S24" i="1"/>
  <c r="L23" i="1" l="1"/>
  <c r="M35" i="10"/>
  <c r="Q36" i="10"/>
  <c r="AW35" i="10"/>
  <c r="BA35" i="10" s="1"/>
  <c r="AX35" i="10"/>
  <c r="BB35" i="10" s="1"/>
  <c r="BJ35" i="10" s="1"/>
  <c r="S38" i="12"/>
  <c r="BI36" i="12"/>
  <c r="BM36" i="12" s="1"/>
  <c r="AX34" i="11"/>
  <c r="BB34" i="11" s="1"/>
  <c r="BJ34" i="11" s="1"/>
  <c r="AW34" i="11"/>
  <c r="BA34" i="11" s="1"/>
  <c r="AI37" i="12"/>
  <c r="AG37" i="12"/>
  <c r="AH37" i="12"/>
  <c r="BK34" i="11"/>
  <c r="BM34" i="9"/>
  <c r="BO34" i="9" s="1"/>
  <c r="AO35" i="9"/>
  <c r="T24" i="1"/>
  <c r="AY24" i="1"/>
  <c r="BC24" i="1" s="1"/>
  <c r="O24" i="1"/>
  <c r="AI35" i="11" l="1"/>
  <c r="S36" i="11"/>
  <c r="AH35" i="11"/>
  <c r="BI34" i="11"/>
  <c r="BM34" i="11" s="1"/>
  <c r="BO34" i="11" s="1"/>
  <c r="AG35" i="11"/>
  <c r="AO35" i="11" s="1"/>
  <c r="AY35" i="10"/>
  <c r="BC35" i="10" s="1"/>
  <c r="BK35" i="10" s="1"/>
  <c r="AH36" i="10"/>
  <c r="AG36" i="10"/>
  <c r="AO36" i="10" s="1"/>
  <c r="AP36" i="10" s="1"/>
  <c r="AT36" i="10" s="1"/>
  <c r="BI35" i="10"/>
  <c r="AO37" i="12"/>
  <c r="N38" i="12"/>
  <c r="BO36" i="12"/>
  <c r="BN36" i="12"/>
  <c r="BN34" i="9"/>
  <c r="N36" i="9"/>
  <c r="AP35" i="9"/>
  <c r="AT35" i="9" s="1"/>
  <c r="AS35" i="9"/>
  <c r="BK24" i="1"/>
  <c r="BM24" i="1" s="1"/>
  <c r="BO24" i="1" s="1"/>
  <c r="AG25" i="1"/>
  <c r="AH25" i="1"/>
  <c r="AI25" i="1"/>
  <c r="Q24" i="1"/>
  <c r="M23" i="1"/>
  <c r="AI36" i="10" l="1"/>
  <c r="S37" i="10"/>
  <c r="BM35" i="10"/>
  <c r="BN35" i="10" s="1"/>
  <c r="L37" i="12"/>
  <c r="T36" i="9"/>
  <c r="L35" i="9"/>
  <c r="BN34" i="11"/>
  <c r="N36" i="11"/>
  <c r="AS36" i="10"/>
  <c r="O38" i="12"/>
  <c r="T38" i="12"/>
  <c r="AP37" i="12"/>
  <c r="AT37" i="12" s="1"/>
  <c r="AS37" i="12"/>
  <c r="AP35" i="11"/>
  <c r="AT35" i="11" s="1"/>
  <c r="AS35" i="11"/>
  <c r="AQ36" i="10"/>
  <c r="AU36" i="10" s="1"/>
  <c r="O36" i="9"/>
  <c r="Q36" i="9" s="1"/>
  <c r="AQ35" i="9"/>
  <c r="AU35" i="9" s="1"/>
  <c r="BN24" i="1"/>
  <c r="BG25" i="1"/>
  <c r="BE25" i="1"/>
  <c r="AO25" i="1"/>
  <c r="BF25" i="1"/>
  <c r="AX36" i="10" l="1"/>
  <c r="BB36" i="10" s="1"/>
  <c r="BJ36" i="10" s="1"/>
  <c r="N37" i="10"/>
  <c r="T37" i="10" s="1"/>
  <c r="BO35" i="10"/>
  <c r="L35" i="11"/>
  <c r="T36" i="11"/>
  <c r="O36" i="11"/>
  <c r="M35" i="11" s="1"/>
  <c r="AQ37" i="12"/>
  <c r="AU37" i="12" s="1"/>
  <c r="AY37" i="12" s="1"/>
  <c r="BC37" i="12" s="1"/>
  <c r="Q38" i="12"/>
  <c r="M37" i="12"/>
  <c r="AQ35" i="11"/>
  <c r="AU35" i="11" s="1"/>
  <c r="AY35" i="11" s="1"/>
  <c r="BC35" i="11" s="1"/>
  <c r="AW36" i="10"/>
  <c r="BA36" i="10" s="1"/>
  <c r="BI36" i="10" s="1"/>
  <c r="M35" i="9"/>
  <c r="AW35" i="9"/>
  <c r="BA35" i="9" s="1"/>
  <c r="AX35" i="9"/>
  <c r="BB35" i="9" s="1"/>
  <c r="BJ35" i="9" s="1"/>
  <c r="AS25" i="1"/>
  <c r="AP25" i="1"/>
  <c r="AT25" i="1" s="1"/>
  <c r="O37" i="10" l="1"/>
  <c r="M36" i="10" s="1"/>
  <c r="L36" i="10"/>
  <c r="AW37" i="12"/>
  <c r="BA37" i="12" s="1"/>
  <c r="AX37" i="12"/>
  <c r="BB37" i="12" s="1"/>
  <c r="BJ37" i="12" s="1"/>
  <c r="Q36" i="11"/>
  <c r="AY36" i="10"/>
  <c r="BC36" i="10" s="1"/>
  <c r="AG37" i="10" s="1"/>
  <c r="AO37" i="10" s="1"/>
  <c r="AS37" i="10" s="1"/>
  <c r="AY35" i="9"/>
  <c r="BC35" i="9" s="1"/>
  <c r="BK35" i="9" s="1"/>
  <c r="AI37" i="10"/>
  <c r="AH37" i="10"/>
  <c r="AW35" i="11"/>
  <c r="BA35" i="11" s="1"/>
  <c r="AX35" i="11"/>
  <c r="BB35" i="11" s="1"/>
  <c r="BJ35" i="11" s="1"/>
  <c r="S39" i="12"/>
  <c r="BI37" i="12"/>
  <c r="BK37" i="12"/>
  <c r="AI38" i="12"/>
  <c r="AH38" i="12"/>
  <c r="AG38" i="12"/>
  <c r="BK35" i="11"/>
  <c r="BI35" i="9"/>
  <c r="AH36" i="9"/>
  <c r="AQ25" i="1"/>
  <c r="AU25" i="1" s="1"/>
  <c r="AX25" i="1" s="1"/>
  <c r="BB25" i="1" s="1"/>
  <c r="BJ25" i="1" s="1"/>
  <c r="Q37" i="10" l="1"/>
  <c r="AI36" i="9"/>
  <c r="BM35" i="9"/>
  <c r="S37" i="9"/>
  <c r="AH36" i="11"/>
  <c r="AI36" i="11"/>
  <c r="AG36" i="11"/>
  <c r="AO36" i="11" s="1"/>
  <c r="BI35" i="11"/>
  <c r="BM35" i="11" s="1"/>
  <c r="BK36" i="10"/>
  <c r="BM36" i="10" s="1"/>
  <c r="BO36" i="10" s="1"/>
  <c r="S38" i="10"/>
  <c r="AG36" i="9"/>
  <c r="AO36" i="9" s="1"/>
  <c r="AP36" i="9" s="1"/>
  <c r="AT36" i="9" s="1"/>
  <c r="BM37" i="12"/>
  <c r="AO38" i="12"/>
  <c r="S37" i="11"/>
  <c r="AP37" i="10"/>
  <c r="AT37" i="10" s="1"/>
  <c r="BO35" i="9"/>
  <c r="N37" i="9"/>
  <c r="BN35" i="9"/>
  <c r="AW25" i="1"/>
  <c r="BA25" i="1" s="1"/>
  <c r="BI25" i="1" s="1"/>
  <c r="S25" i="1"/>
  <c r="AS36" i="9" l="1"/>
  <c r="L36" i="9"/>
  <c r="BN36" i="10"/>
  <c r="N38" i="10"/>
  <c r="O38" i="10" s="1"/>
  <c r="N39" i="12"/>
  <c r="BO37" i="12"/>
  <c r="BN37" i="12"/>
  <c r="AP38" i="12"/>
  <c r="AT38" i="12" s="1"/>
  <c r="AS38" i="12"/>
  <c r="BO35" i="11"/>
  <c r="N37" i="11"/>
  <c r="BN35" i="11"/>
  <c r="AP36" i="11"/>
  <c r="AT36" i="11" s="1"/>
  <c r="AQ37" i="10"/>
  <c r="AU37" i="10" s="1"/>
  <c r="AX37" i="10" s="1"/>
  <c r="BB37" i="10" s="1"/>
  <c r="BJ37" i="10" s="1"/>
  <c r="AS36" i="11"/>
  <c r="AQ36" i="9"/>
  <c r="AU36" i="9" s="1"/>
  <c r="AW36" i="9" s="1"/>
  <c r="BA36" i="9" s="1"/>
  <c r="O37" i="9"/>
  <c r="T37" i="9"/>
  <c r="AY25" i="1"/>
  <c r="BC25" i="1" s="1"/>
  <c r="N25" i="1"/>
  <c r="L38" i="12" l="1"/>
  <c r="L36" i="11"/>
  <c r="L37" i="10"/>
  <c r="T25" i="1"/>
  <c r="L24" i="1"/>
  <c r="T38" i="10"/>
  <c r="AX36" i="9"/>
  <c r="BB36" i="9" s="1"/>
  <c r="BJ36" i="9" s="1"/>
  <c r="AQ38" i="12"/>
  <c r="AU38" i="12" s="1"/>
  <c r="AY38" i="12" s="1"/>
  <c r="BC38" i="12" s="1"/>
  <c r="O39" i="12"/>
  <c r="T39" i="12"/>
  <c r="AQ36" i="11"/>
  <c r="AU36" i="11" s="1"/>
  <c r="AY36" i="11" s="1"/>
  <c r="BC36" i="11" s="1"/>
  <c r="O37" i="11"/>
  <c r="T37" i="11"/>
  <c r="AW37" i="10"/>
  <c r="BA37" i="10" s="1"/>
  <c r="Q38" i="10"/>
  <c r="M37" i="10"/>
  <c r="BI36" i="9"/>
  <c r="Q37" i="9"/>
  <c r="M36" i="9"/>
  <c r="BK25" i="1"/>
  <c r="BM25" i="1" s="1"/>
  <c r="BO25" i="1" s="1"/>
  <c r="AG26" i="1"/>
  <c r="AH26" i="1"/>
  <c r="AI26" i="1"/>
  <c r="O25" i="1"/>
  <c r="AW36" i="11" l="1"/>
  <c r="BA36" i="11" s="1"/>
  <c r="AX36" i="11"/>
  <c r="BB36" i="11" s="1"/>
  <c r="BJ36" i="11" s="1"/>
  <c r="AX38" i="12"/>
  <c r="BB38" i="12" s="1"/>
  <c r="BJ38" i="12" s="1"/>
  <c r="AW38" i="12"/>
  <c r="BA38" i="12" s="1"/>
  <c r="S40" i="12" s="1"/>
  <c r="AY36" i="9"/>
  <c r="BC36" i="9" s="1"/>
  <c r="AY37" i="10"/>
  <c r="BC37" i="10" s="1"/>
  <c r="BK37" i="10" s="1"/>
  <c r="Q39" i="12"/>
  <c r="M38" i="12"/>
  <c r="BK38" i="12"/>
  <c r="Q37" i="11"/>
  <c r="M36" i="11"/>
  <c r="BK36" i="11"/>
  <c r="AI37" i="11"/>
  <c r="AH37" i="11"/>
  <c r="AG37" i="11"/>
  <c r="S38" i="11"/>
  <c r="BI36" i="11"/>
  <c r="BI37" i="10"/>
  <c r="BN25" i="1"/>
  <c r="Q25" i="1"/>
  <c r="M24" i="1"/>
  <c r="AI38" i="10" l="1"/>
  <c r="BM37" i="10"/>
  <c r="N39" i="10" s="1"/>
  <c r="L38" i="10" s="1"/>
  <c r="AH38" i="10"/>
  <c r="AI39" i="12"/>
  <c r="AG39" i="12"/>
  <c r="AO39" i="12" s="1"/>
  <c r="AH39" i="12"/>
  <c r="S39" i="10"/>
  <c r="T39" i="10" s="1"/>
  <c r="BI38" i="12"/>
  <c r="BM38" i="12" s="1"/>
  <c r="AG38" i="10"/>
  <c r="AO38" i="10" s="1"/>
  <c r="AI37" i="9"/>
  <c r="AG37" i="9"/>
  <c r="AO37" i="9" s="1"/>
  <c r="AS37" i="9" s="1"/>
  <c r="BK36" i="9"/>
  <c r="BM36" i="9" s="1"/>
  <c r="N38" i="9" s="1"/>
  <c r="AH37" i="9"/>
  <c r="AP37" i="9" s="1"/>
  <c r="AT37" i="9" s="1"/>
  <c r="S38" i="9"/>
  <c r="BM36" i="11"/>
  <c r="BN37" i="10"/>
  <c r="AO37" i="11"/>
  <c r="AS37" i="11" s="1"/>
  <c r="BO37" i="10"/>
  <c r="BF26" i="1"/>
  <c r="BG26" i="1"/>
  <c r="AO26" i="1"/>
  <c r="BE26" i="1"/>
  <c r="O39" i="10" l="1"/>
  <c r="Q39" i="10" s="1"/>
  <c r="AP38" i="10"/>
  <c r="AT38" i="10" s="1"/>
  <c r="AS38" i="10"/>
  <c r="AQ38" i="10"/>
  <c r="AU38" i="10" s="1"/>
  <c r="AW38" i="10" s="1"/>
  <c r="BA38" i="10" s="1"/>
  <c r="L37" i="9"/>
  <c r="BO36" i="9"/>
  <c r="BN36" i="9"/>
  <c r="AP39" i="12"/>
  <c r="AT39" i="12" s="1"/>
  <c r="N40" i="12"/>
  <c r="BO38" i="12"/>
  <c r="BN38" i="12"/>
  <c r="AS39" i="12"/>
  <c r="AP37" i="11"/>
  <c r="AT37" i="11" s="1"/>
  <c r="AQ37" i="9"/>
  <c r="AU37" i="9" s="1"/>
  <c r="AX37" i="9" s="1"/>
  <c r="BB37" i="9" s="1"/>
  <c r="BJ37" i="9" s="1"/>
  <c r="BO36" i="11"/>
  <c r="N38" i="11"/>
  <c r="BN36" i="11"/>
  <c r="O38" i="9"/>
  <c r="T38" i="9"/>
  <c r="AS26" i="1"/>
  <c r="AP26" i="1"/>
  <c r="AT26" i="1" s="1"/>
  <c r="M38" i="10" l="1"/>
  <c r="AX38" i="10"/>
  <c r="BB38" i="10" s="1"/>
  <c r="BJ38" i="10" s="1"/>
  <c r="AQ39" i="12"/>
  <c r="AU39" i="12" s="1"/>
  <c r="L37" i="11"/>
  <c r="L39" i="12"/>
  <c r="AY38" i="10"/>
  <c r="BC38" i="10" s="1"/>
  <c r="BK38" i="10" s="1"/>
  <c r="AY39" i="12"/>
  <c r="BC39" i="12" s="1"/>
  <c r="AX39" i="12"/>
  <c r="BB39" i="12" s="1"/>
  <c r="BJ39" i="12" s="1"/>
  <c r="AW39" i="12"/>
  <c r="BA39" i="12" s="1"/>
  <c r="O40" i="12"/>
  <c r="T40" i="12"/>
  <c r="AQ37" i="11"/>
  <c r="AU37" i="11" s="1"/>
  <c r="AY37" i="11" s="1"/>
  <c r="BC37" i="11" s="1"/>
  <c r="AW37" i="9"/>
  <c r="O38" i="11"/>
  <c r="T38" i="11"/>
  <c r="S40" i="10"/>
  <c r="BI38" i="10"/>
  <c r="BM38" i="10" s="1"/>
  <c r="AH39" i="10"/>
  <c r="Q38" i="9"/>
  <c r="M37" i="9"/>
  <c r="AQ26" i="1"/>
  <c r="AU26" i="1" s="1"/>
  <c r="AX26" i="1" s="1"/>
  <c r="BB26" i="1" s="1"/>
  <c r="BJ26" i="1" s="1"/>
  <c r="AG39" i="10" l="1"/>
  <c r="AI39" i="10"/>
  <c r="BA37" i="9"/>
  <c r="AY37" i="9"/>
  <c r="BC37" i="9" s="1"/>
  <c r="BK37" i="9" s="1"/>
  <c r="Q40" i="12"/>
  <c r="M39" i="12"/>
  <c r="AX37" i="11"/>
  <c r="BB37" i="11" s="1"/>
  <c r="BJ37" i="11" s="1"/>
  <c r="BI39" i="12"/>
  <c r="S41" i="12"/>
  <c r="AW37" i="11"/>
  <c r="BA37" i="11" s="1"/>
  <c r="BK39" i="12"/>
  <c r="AG40" i="12"/>
  <c r="AI40" i="12"/>
  <c r="AH40" i="12"/>
  <c r="BK37" i="11"/>
  <c r="AI38" i="11"/>
  <c r="Q38" i="11"/>
  <c r="M37" i="11"/>
  <c r="BI37" i="9"/>
  <c r="AO39" i="10"/>
  <c r="N40" i="10"/>
  <c r="BO38" i="10"/>
  <c r="BN38" i="10"/>
  <c r="AW26" i="1"/>
  <c r="BA26" i="1" s="1"/>
  <c r="BI26" i="1" s="1"/>
  <c r="S26" i="1"/>
  <c r="BM37" i="9" l="1"/>
  <c r="AG38" i="11"/>
  <c r="S39" i="11"/>
  <c r="T40" i="10"/>
  <c r="L39" i="10"/>
  <c r="AH38" i="11"/>
  <c r="S39" i="9"/>
  <c r="AG38" i="9"/>
  <c r="AO38" i="9" s="1"/>
  <c r="AS38" i="9" s="1"/>
  <c r="AI38" i="9"/>
  <c r="AH38" i="9"/>
  <c r="BO37" i="9"/>
  <c r="N39" i="9"/>
  <c r="BM39" i="12"/>
  <c r="BI37" i="11"/>
  <c r="BM37" i="11" s="1"/>
  <c r="BN37" i="11" s="1"/>
  <c r="AO40" i="12"/>
  <c r="AS40" i="12" s="1"/>
  <c r="AO38" i="11"/>
  <c r="BN37" i="9"/>
  <c r="AP39" i="10"/>
  <c r="AT39" i="10" s="1"/>
  <c r="O40" i="10"/>
  <c r="AS39" i="10"/>
  <c r="AY26" i="1"/>
  <c r="BC26" i="1" s="1"/>
  <c r="N26" i="1"/>
  <c r="AP38" i="9" l="1"/>
  <c r="AT38" i="9" s="1"/>
  <c r="T26" i="1"/>
  <c r="L25" i="1"/>
  <c r="T39" i="9"/>
  <c r="L38" i="9"/>
  <c r="O39" i="9"/>
  <c r="M38" i="9" s="1"/>
  <c r="BO37" i="11"/>
  <c r="N39" i="11"/>
  <c r="N41" i="12"/>
  <c r="BO39" i="12"/>
  <c r="BN39" i="12"/>
  <c r="AP40" i="12"/>
  <c r="AT40" i="12" s="1"/>
  <c r="AQ39" i="10"/>
  <c r="AU39" i="10" s="1"/>
  <c r="AP38" i="11"/>
  <c r="AT38" i="11" s="1"/>
  <c r="AS38" i="11"/>
  <c r="Q40" i="10"/>
  <c r="M39" i="10"/>
  <c r="AQ38" i="9"/>
  <c r="AU38" i="9" s="1"/>
  <c r="BK26" i="1"/>
  <c r="BM26" i="1" s="1"/>
  <c r="BN26" i="1" s="1"/>
  <c r="AI27" i="1"/>
  <c r="AH27" i="1"/>
  <c r="AG27" i="1"/>
  <c r="O26" i="1"/>
  <c r="L41" i="12" l="1"/>
  <c r="L40" i="12"/>
  <c r="O39" i="11"/>
  <c r="Q39" i="11" s="1"/>
  <c r="L38" i="11"/>
  <c r="AQ38" i="11"/>
  <c r="AU38" i="11" s="1"/>
  <c r="AY38" i="11" s="1"/>
  <c r="BC38" i="11" s="1"/>
  <c r="Q39" i="9"/>
  <c r="T39" i="11"/>
  <c r="O41" i="12"/>
  <c r="T41" i="12"/>
  <c r="AQ40" i="12"/>
  <c r="AU40" i="12" s="1"/>
  <c r="AW39" i="10"/>
  <c r="BA39" i="10" s="1"/>
  <c r="BI39" i="10" s="1"/>
  <c r="AX38" i="9"/>
  <c r="BB38" i="9" s="1"/>
  <c r="BJ38" i="9" s="1"/>
  <c r="AX39" i="10"/>
  <c r="BB39" i="10" s="1"/>
  <c r="BJ39" i="10" s="1"/>
  <c r="AW38" i="9"/>
  <c r="BA38" i="9" s="1"/>
  <c r="BI38" i="9" s="1"/>
  <c r="BO26" i="1"/>
  <c r="Q26" i="1"/>
  <c r="M25" i="1"/>
  <c r="AW38" i="11" l="1"/>
  <c r="BA38" i="11" s="1"/>
  <c r="AX38" i="11"/>
  <c r="BB38" i="11" s="1"/>
  <c r="BJ38" i="11" s="1"/>
  <c r="M38" i="11"/>
  <c r="AY38" i="9"/>
  <c r="BC38" i="9" s="1"/>
  <c r="BK38" i="9" s="1"/>
  <c r="BM38" i="9" s="1"/>
  <c r="N40" i="9" s="1"/>
  <c r="AG39" i="9"/>
  <c r="AO39" i="9" s="1"/>
  <c r="AY39" i="10"/>
  <c r="BC39" i="10" s="1"/>
  <c r="BK39" i="10" s="1"/>
  <c r="BM39" i="10" s="1"/>
  <c r="AX40" i="12"/>
  <c r="BB40" i="12" s="1"/>
  <c r="BJ40" i="12" s="1"/>
  <c r="AW40" i="12"/>
  <c r="BA40" i="12" s="1"/>
  <c r="BI40" i="12" s="1"/>
  <c r="Q41" i="12"/>
  <c r="M40" i="12"/>
  <c r="AY40" i="12"/>
  <c r="BC40" i="12" s="1"/>
  <c r="S40" i="11"/>
  <c r="BI38" i="11"/>
  <c r="BK38" i="11"/>
  <c r="AH39" i="11"/>
  <c r="AI39" i="11"/>
  <c r="BG27" i="1"/>
  <c r="BE27" i="1"/>
  <c r="BF27" i="1"/>
  <c r="AG39" i="11" l="1"/>
  <c r="S41" i="10"/>
  <c r="BO38" i="9"/>
  <c r="AH39" i="9"/>
  <c r="L39" i="9"/>
  <c r="AH40" i="10"/>
  <c r="AG40" i="10"/>
  <c r="AO40" i="10" s="1"/>
  <c r="AS40" i="10" s="1"/>
  <c r="AI39" i="9"/>
  <c r="S40" i="9"/>
  <c r="T40" i="9" s="1"/>
  <c r="AI40" i="10"/>
  <c r="BK40" i="12"/>
  <c r="BM40" i="12" s="1"/>
  <c r="AH41" i="12"/>
  <c r="AG41" i="12"/>
  <c r="AI41" i="12"/>
  <c r="AO39" i="11"/>
  <c r="AS39" i="11" s="1"/>
  <c r="BM38" i="11"/>
  <c r="BN38" i="9"/>
  <c r="N41" i="10"/>
  <c r="BO39" i="10"/>
  <c r="BN39" i="10"/>
  <c r="AP39" i="9"/>
  <c r="AT39" i="9" s="1"/>
  <c r="AS39" i="9"/>
  <c r="O40" i="9"/>
  <c r="AO27" i="1"/>
  <c r="AS27" i="1" s="1"/>
  <c r="L41" i="10" l="1"/>
  <c r="L40" i="10"/>
  <c r="AP40" i="10"/>
  <c r="AT40" i="10" s="1"/>
  <c r="BO40" i="12"/>
  <c r="BN40" i="12"/>
  <c r="AO41" i="12"/>
  <c r="N40" i="11"/>
  <c r="BO38" i="11"/>
  <c r="BN38" i="11"/>
  <c r="AP39" i="11"/>
  <c r="AT39" i="11" s="1"/>
  <c r="O41" i="10"/>
  <c r="T41" i="10"/>
  <c r="AQ40" i="10"/>
  <c r="AU40" i="10" s="1"/>
  <c r="Q40" i="9"/>
  <c r="M39" i="9"/>
  <c r="AQ39" i="9"/>
  <c r="AU39" i="9" s="1"/>
  <c r="AW39" i="9" s="1"/>
  <c r="BA39" i="9" s="1"/>
  <c r="AP27" i="1"/>
  <c r="AT27" i="1" s="1"/>
  <c r="L39" i="11" l="1"/>
  <c r="AP41" i="12"/>
  <c r="AT41" i="12" s="1"/>
  <c r="AS41" i="12"/>
  <c r="AQ39" i="11"/>
  <c r="AU39" i="11" s="1"/>
  <c r="AX39" i="11" s="1"/>
  <c r="BB39" i="11" s="1"/>
  <c r="BJ39" i="11" s="1"/>
  <c r="O40" i="11"/>
  <c r="T40" i="11"/>
  <c r="AX40" i="10"/>
  <c r="BB40" i="10" s="1"/>
  <c r="BJ40" i="10" s="1"/>
  <c r="AW40" i="10"/>
  <c r="BA40" i="10" s="1"/>
  <c r="BI40" i="10" s="1"/>
  <c r="Q41" i="10"/>
  <c r="M40" i="10"/>
  <c r="BI39" i="9"/>
  <c r="AX39" i="9"/>
  <c r="BB39" i="9" s="1"/>
  <c r="BJ39" i="9" s="1"/>
  <c r="AQ27" i="1"/>
  <c r="AU27" i="1" s="1"/>
  <c r="AW27" i="1" s="1"/>
  <c r="BA27" i="1" s="1"/>
  <c r="BI27" i="1" s="1"/>
  <c r="S27" i="1"/>
  <c r="AY39" i="9" l="1"/>
  <c r="BC39" i="9" s="1"/>
  <c r="AY40" i="10"/>
  <c r="BC40" i="10" s="1"/>
  <c r="BK40" i="10" s="1"/>
  <c r="BM40" i="10" s="1"/>
  <c r="BO40" i="10" s="1"/>
  <c r="AY39" i="11"/>
  <c r="BC39" i="11" s="1"/>
  <c r="BK39" i="11" s="1"/>
  <c r="AW39" i="11"/>
  <c r="BA39" i="11" s="1"/>
  <c r="AI40" i="11" s="1"/>
  <c r="AQ41" i="12"/>
  <c r="AU41" i="12" s="1"/>
  <c r="AY41" i="12" s="1"/>
  <c r="BC41" i="12" s="1"/>
  <c r="BK41" i="12" s="1"/>
  <c r="S41" i="11"/>
  <c r="Q40" i="11"/>
  <c r="M39" i="11"/>
  <c r="BK39" i="9"/>
  <c r="BM39" i="9" s="1"/>
  <c r="AI40" i="9"/>
  <c r="AH40" i="9"/>
  <c r="AG40" i="9"/>
  <c r="S41" i="9"/>
  <c r="AX27" i="1"/>
  <c r="AY27" i="1" s="1"/>
  <c r="BC27" i="1" s="1"/>
  <c r="N27" i="1"/>
  <c r="AH41" i="10" l="1"/>
  <c r="AI41" i="10"/>
  <c r="AG41" i="10"/>
  <c r="L26" i="1"/>
  <c r="BN40" i="10"/>
  <c r="BI39" i="11"/>
  <c r="BM39" i="11" s="1"/>
  <c r="BO39" i="11" s="1"/>
  <c r="AH40" i="11"/>
  <c r="AG40" i="11"/>
  <c r="AO40" i="11" s="1"/>
  <c r="AW41" i="12"/>
  <c r="BA41" i="12" s="1"/>
  <c r="BI41" i="12" s="1"/>
  <c r="AX41" i="12"/>
  <c r="BB41" i="12" s="1"/>
  <c r="BJ41" i="12" s="1"/>
  <c r="AO41" i="10"/>
  <c r="AO40" i="9"/>
  <c r="BO39" i="9"/>
  <c r="N41" i="9"/>
  <c r="BN39" i="9"/>
  <c r="BK27" i="1"/>
  <c r="BB27" i="1"/>
  <c r="BJ27" i="1" s="1"/>
  <c r="O27" i="1"/>
  <c r="T27" i="1"/>
  <c r="N41" i="11" l="1"/>
  <c r="T41" i="11" s="1"/>
  <c r="BN39" i="11"/>
  <c r="L41" i="9"/>
  <c r="L40" i="9"/>
  <c r="BM27" i="1"/>
  <c r="BO27" i="1" s="1"/>
  <c r="BM41" i="12"/>
  <c r="AP40" i="11"/>
  <c r="AT40" i="11" s="1"/>
  <c r="AS40" i="11"/>
  <c r="AP41" i="10"/>
  <c r="AT41" i="10" s="1"/>
  <c r="AS41" i="10"/>
  <c r="AP40" i="9"/>
  <c r="AT40" i="9" s="1"/>
  <c r="AS40" i="9"/>
  <c r="O41" i="9"/>
  <c r="T41" i="9"/>
  <c r="AH28" i="1"/>
  <c r="AG28" i="1"/>
  <c r="AI28" i="1"/>
  <c r="Q27" i="1"/>
  <c r="M26" i="1"/>
  <c r="O41" i="11" l="1"/>
  <c r="L40" i="11"/>
  <c r="L41" i="11"/>
  <c r="BN27" i="1"/>
  <c r="AQ40" i="9"/>
  <c r="AU40" i="9" s="1"/>
  <c r="AX40" i="9" s="1"/>
  <c r="BB40" i="9" s="1"/>
  <c r="BJ40" i="9" s="1"/>
  <c r="BO41" i="12"/>
  <c r="BN41" i="12"/>
  <c r="Q41" i="11"/>
  <c r="M40" i="11"/>
  <c r="AQ40" i="11"/>
  <c r="AU40" i="11" s="1"/>
  <c r="AY40" i="11" s="1"/>
  <c r="BC40" i="11" s="1"/>
  <c r="AQ41" i="10"/>
  <c r="AU41" i="10" s="1"/>
  <c r="Q41" i="9"/>
  <c r="M40" i="9"/>
  <c r="AO28" i="1"/>
  <c r="BE28" i="1"/>
  <c r="BF28" i="1"/>
  <c r="AW40" i="9" l="1"/>
  <c r="BA40" i="9" s="1"/>
  <c r="BI40" i="9" s="1"/>
  <c r="BK40" i="11"/>
  <c r="AW40" i="11"/>
  <c r="BA40" i="11" s="1"/>
  <c r="BI40" i="11" s="1"/>
  <c r="AX40" i="11"/>
  <c r="BB40" i="11" s="1"/>
  <c r="BJ40" i="11" s="1"/>
  <c r="AW41" i="10"/>
  <c r="BA41" i="10" s="1"/>
  <c r="BI41" i="10" s="1"/>
  <c r="AX41" i="10"/>
  <c r="BB41" i="10" s="1"/>
  <c r="BJ41" i="10" s="1"/>
  <c r="BG28" i="1"/>
  <c r="AS28" i="1"/>
  <c r="AP28" i="1"/>
  <c r="AT28" i="1" s="1"/>
  <c r="AY40" i="9" l="1"/>
  <c r="BC40" i="9" s="1"/>
  <c r="BK40" i="9"/>
  <c r="BM40" i="9" s="1"/>
  <c r="BO40" i="9" s="1"/>
  <c r="AH41" i="9"/>
  <c r="AY41" i="10"/>
  <c r="BC41" i="10" s="1"/>
  <c r="BK41" i="10" s="1"/>
  <c r="BM41" i="10" s="1"/>
  <c r="BM40" i="11"/>
  <c r="AG41" i="11"/>
  <c r="AH41" i="11"/>
  <c r="AI41" i="11"/>
  <c r="AQ28" i="1"/>
  <c r="AU28" i="1" s="1"/>
  <c r="AW28" i="1" s="1"/>
  <c r="BA28" i="1" s="1"/>
  <c r="AG41" i="9" l="1"/>
  <c r="AO41" i="9" s="1"/>
  <c r="AP41" i="9" s="1"/>
  <c r="AT41" i="9" s="1"/>
  <c r="AI41" i="9"/>
  <c r="BN40" i="9"/>
  <c r="AO41" i="11"/>
  <c r="BO40" i="11"/>
  <c r="BN40" i="11"/>
  <c r="BO41" i="10"/>
  <c r="BN41" i="10"/>
  <c r="AX28" i="1"/>
  <c r="BB28" i="1" s="1"/>
  <c r="BJ28" i="1" s="1"/>
  <c r="BI28" i="1"/>
  <c r="S28" i="1"/>
  <c r="AS41" i="9" l="1"/>
  <c r="AY28" i="1"/>
  <c r="BC28" i="1" s="1"/>
  <c r="AI29" i="1" s="1"/>
  <c r="AP41" i="11"/>
  <c r="AT41" i="11" s="1"/>
  <c r="AS41" i="11"/>
  <c r="AQ41" i="9"/>
  <c r="AU41" i="9" s="1"/>
  <c r="N28" i="1"/>
  <c r="L27" i="1" l="1"/>
  <c r="BK28" i="1"/>
  <c r="BM28" i="1" s="1"/>
  <c r="BO28" i="1" s="1"/>
  <c r="AH29" i="1"/>
  <c r="AG29" i="1"/>
  <c r="AQ41" i="11"/>
  <c r="AU41" i="11" s="1"/>
  <c r="AY41" i="11" s="1"/>
  <c r="BC41" i="11" s="1"/>
  <c r="BK41" i="11" s="1"/>
  <c r="AW41" i="9"/>
  <c r="BA41" i="9" s="1"/>
  <c r="BI41" i="9" s="1"/>
  <c r="AX41" i="9"/>
  <c r="BB41" i="9" s="1"/>
  <c r="BJ41" i="9" s="1"/>
  <c r="T28" i="1"/>
  <c r="O28" i="1"/>
  <c r="BN28" i="1" l="1"/>
  <c r="AY41" i="9"/>
  <c r="BC41" i="9" s="1"/>
  <c r="BK41" i="9" s="1"/>
  <c r="BM41" i="9" s="1"/>
  <c r="AX41" i="11"/>
  <c r="BB41" i="11" s="1"/>
  <c r="BJ41" i="11" s="1"/>
  <c r="AW41" i="11"/>
  <c r="BA41" i="11" s="1"/>
  <c r="BI41" i="11" s="1"/>
  <c r="Q28" i="1"/>
  <c r="M27" i="1"/>
  <c r="BM41" i="11" l="1"/>
  <c r="BO41" i="11" s="1"/>
  <c r="BO41" i="9"/>
  <c r="BN41" i="9"/>
  <c r="AO29" i="1"/>
  <c r="BE29" i="1"/>
  <c r="BF29" i="1"/>
  <c r="BN41" i="11" l="1"/>
  <c r="AS29" i="1"/>
  <c r="AP29" i="1"/>
  <c r="AT29" i="1" s="1"/>
  <c r="BG29" i="1"/>
  <c r="AQ29" i="1" l="1"/>
  <c r="AU29" i="1" s="1"/>
  <c r="AX29" i="1" s="1"/>
  <c r="BB29" i="1" s="1"/>
  <c r="BJ29" i="1" s="1"/>
  <c r="AW29" i="1" l="1"/>
  <c r="BA29" i="1" s="1"/>
  <c r="BI29" i="1" s="1"/>
  <c r="S29" i="1"/>
  <c r="AY29" i="1" l="1"/>
  <c r="BC29" i="1" s="1"/>
  <c r="BK29" i="1" s="1"/>
  <c r="BM29" i="1" s="1"/>
  <c r="BO29" i="1" s="1"/>
  <c r="AI30" i="1"/>
  <c r="AH30" i="1"/>
  <c r="AG30" i="1"/>
  <c r="N29" i="1"/>
  <c r="T29" i="1" l="1"/>
  <c r="L28" i="1"/>
  <c r="BN29" i="1"/>
  <c r="O29" i="1"/>
  <c r="Q29" i="1" l="1"/>
  <c r="M28" i="1"/>
  <c r="BE30" i="1" l="1"/>
  <c r="BF30" i="1"/>
  <c r="BG30" i="1" l="1"/>
  <c r="AO30" i="1"/>
  <c r="AS30" i="1" s="1"/>
  <c r="AP30" i="1" l="1"/>
  <c r="AT30" i="1" s="1"/>
  <c r="AQ30" i="1" l="1"/>
  <c r="AU30" i="1" s="1"/>
  <c r="AX30" i="1" s="1"/>
  <c r="BB30" i="1" s="1"/>
  <c r="BJ30" i="1" s="1"/>
  <c r="AW30" i="1" l="1"/>
  <c r="BA30" i="1" s="1"/>
  <c r="BI30" i="1" s="1"/>
  <c r="AY30" i="1"/>
  <c r="BC30" i="1" s="1"/>
  <c r="BK30" i="1" l="1"/>
  <c r="AI31" i="1"/>
  <c r="AH31" i="1"/>
  <c r="AG31" i="1"/>
  <c r="BM30" i="1"/>
  <c r="S30" i="1"/>
  <c r="N30" i="1" l="1"/>
  <c r="BO30" i="1"/>
  <c r="BN30" i="1"/>
  <c r="L29" i="1" l="1"/>
  <c r="O30" i="1"/>
  <c r="T30" i="1"/>
  <c r="Q30" i="1" l="1"/>
  <c r="M29" i="1"/>
  <c r="BE31" i="1" l="1"/>
  <c r="AO31" i="1"/>
  <c r="BF31" i="1"/>
  <c r="AS31" i="1" l="1"/>
  <c r="AP31" i="1"/>
  <c r="AT31" i="1" s="1"/>
  <c r="BG31" i="1"/>
  <c r="AQ31" i="1" l="1"/>
  <c r="AU31" i="1" s="1"/>
  <c r="AX31" i="1" s="1"/>
  <c r="BB31" i="1" s="1"/>
  <c r="BJ31" i="1" s="1"/>
  <c r="AW31" i="1" l="1"/>
  <c r="BA31" i="1" s="1"/>
  <c r="BI31" i="1" s="1"/>
  <c r="AY31" i="1" l="1"/>
  <c r="BC31" i="1" s="1"/>
  <c r="AG32" i="1" s="1"/>
  <c r="N31" i="1"/>
  <c r="S31" i="1"/>
  <c r="AH32" i="1" l="1"/>
  <c r="AI32" i="1"/>
  <c r="BK31" i="1"/>
  <c r="BM31" i="1" s="1"/>
  <c r="BO31" i="1" s="1"/>
  <c r="L30" i="1"/>
  <c r="T31" i="1"/>
  <c r="O31" i="1"/>
  <c r="BN31" i="1" l="1"/>
  <c r="Q31" i="1"/>
  <c r="M30" i="1"/>
  <c r="BF32" i="1" l="1"/>
  <c r="BE32" i="1"/>
  <c r="AO32" i="1"/>
  <c r="AS32" i="1" l="1"/>
  <c r="AP32" i="1"/>
  <c r="AT32" i="1" s="1"/>
  <c r="BG32" i="1"/>
  <c r="AQ32" i="1" l="1"/>
  <c r="AU32" i="1" s="1"/>
  <c r="AW32" i="1" s="1"/>
  <c r="BA32" i="1" s="1"/>
  <c r="AX32" i="1" l="1"/>
  <c r="BB32" i="1" s="1"/>
  <c r="BJ32" i="1" s="1"/>
  <c r="BI32" i="1"/>
  <c r="AY32" i="1" l="1"/>
  <c r="BC32" i="1" s="1"/>
  <c r="AI33" i="1" l="1"/>
  <c r="AH33" i="1"/>
  <c r="AG33" i="1"/>
  <c r="BK32" i="1"/>
  <c r="BM32" i="1" s="1"/>
  <c r="S32" i="1"/>
  <c r="N32" i="1" l="1"/>
  <c r="BO32" i="1"/>
  <c r="BN32" i="1"/>
  <c r="L31" i="1" l="1"/>
  <c r="O32" i="1"/>
  <c r="T32" i="1"/>
  <c r="Q32" i="1" l="1"/>
  <c r="M31" i="1"/>
  <c r="BF33" i="1" l="1"/>
  <c r="BE33" i="1"/>
  <c r="AO33" i="1"/>
  <c r="AS33" i="1" l="1"/>
  <c r="AP33" i="1"/>
  <c r="AT33" i="1" s="1"/>
  <c r="BG33" i="1"/>
  <c r="AQ33" i="1" l="1"/>
  <c r="AU33" i="1" s="1"/>
  <c r="AW33" i="1" s="1"/>
  <c r="BA33" i="1" s="1"/>
  <c r="BI33" i="1" s="1"/>
  <c r="AX33" i="1" l="1"/>
  <c r="BB33" i="1" s="1"/>
  <c r="BJ33" i="1" s="1"/>
  <c r="N33" i="1"/>
  <c r="S33" i="1"/>
  <c r="AY33" i="1" l="1"/>
  <c r="BC33" i="1" s="1"/>
  <c r="BK33" i="1" s="1"/>
  <c r="BM33" i="1" s="1"/>
  <c r="BO33" i="1" s="1"/>
  <c r="L32" i="1"/>
  <c r="AI34" i="1"/>
  <c r="AH34" i="1"/>
  <c r="AG34" i="1"/>
  <c r="T33" i="1"/>
  <c r="O33" i="1"/>
  <c r="BN33" i="1" l="1"/>
  <c r="Q33" i="1"/>
  <c r="M32" i="1"/>
  <c r="BG34" i="1" l="1"/>
  <c r="BF34" i="1"/>
  <c r="BE34" i="1"/>
  <c r="AO34" i="1"/>
  <c r="AS34" i="1" l="1"/>
  <c r="AP34" i="1"/>
  <c r="AT34" i="1" s="1"/>
  <c r="AQ34" i="1" l="1"/>
  <c r="AU34" i="1" s="1"/>
  <c r="AX34" i="1" s="1"/>
  <c r="BB34" i="1" s="1"/>
  <c r="BJ34" i="1" s="1"/>
  <c r="AW34" i="1" l="1"/>
  <c r="BA34" i="1" s="1"/>
  <c r="AY34" i="1" l="1"/>
  <c r="BC34" i="1" s="1"/>
  <c r="BK34" i="1" s="1"/>
  <c r="AH35" i="1"/>
  <c r="S34" i="1"/>
  <c r="BI34" i="1"/>
  <c r="AG35" i="1" l="1"/>
  <c r="AI35" i="1"/>
  <c r="BM34" i="1"/>
  <c r="BO34" i="1"/>
  <c r="N34" i="1"/>
  <c r="BN34" i="1"/>
  <c r="T34" i="1" l="1"/>
  <c r="L33" i="1"/>
  <c r="O34" i="1"/>
  <c r="Q34" i="1" l="1"/>
  <c r="M33" i="1"/>
  <c r="BF35" i="1" l="1"/>
  <c r="AO35" i="1"/>
  <c r="BE35" i="1"/>
  <c r="AS35" i="1" l="1"/>
  <c r="AP35" i="1"/>
  <c r="AT35" i="1" s="1"/>
  <c r="BG35" i="1"/>
  <c r="AQ35" i="1" l="1"/>
  <c r="AU35" i="1" s="1"/>
  <c r="AW35" i="1" s="1"/>
  <c r="BA35" i="1" s="1"/>
  <c r="AX35" i="1" l="1"/>
  <c r="BB35" i="1" s="1"/>
  <c r="BJ35" i="1" s="1"/>
  <c r="S35" i="1"/>
  <c r="BI35" i="1"/>
  <c r="AY35" i="1" l="1"/>
  <c r="BC35" i="1" s="1"/>
  <c r="BK35" i="1"/>
  <c r="BM35" i="1" s="1"/>
  <c r="BN35" i="1" s="1"/>
  <c r="AI36" i="1"/>
  <c r="AG36" i="1"/>
  <c r="AH36" i="1"/>
  <c r="N35" i="1"/>
  <c r="L34" i="1" l="1"/>
  <c r="BO35" i="1"/>
  <c r="O35" i="1"/>
  <c r="T35" i="1"/>
  <c r="Q35" i="1" l="1"/>
  <c r="M34" i="1"/>
  <c r="BF36" i="1" l="1"/>
  <c r="BE36" i="1"/>
  <c r="AO36" i="1" l="1"/>
  <c r="AS36" i="1" s="1"/>
  <c r="BG36" i="1"/>
  <c r="AP36" i="1" l="1"/>
  <c r="AT36" i="1" s="1"/>
  <c r="AQ36" i="1" l="1"/>
  <c r="AU36" i="1" s="1"/>
  <c r="AW36" i="1" s="1"/>
  <c r="BA36" i="1" s="1"/>
  <c r="BI36" i="1" s="1"/>
  <c r="AX36" i="1" l="1"/>
  <c r="BB36" i="1" s="1"/>
  <c r="BJ36" i="1" s="1"/>
  <c r="AY36" i="1" l="1"/>
  <c r="BC36" i="1" s="1"/>
  <c r="N36" i="1"/>
  <c r="S36" i="1"/>
  <c r="L35" i="1" l="1"/>
  <c r="BK36" i="1"/>
  <c r="BM36" i="1" s="1"/>
  <c r="BO36" i="1" s="1"/>
  <c r="AH37" i="1"/>
  <c r="AG37" i="1"/>
  <c r="AI37" i="1"/>
  <c r="T36" i="1"/>
  <c r="O36" i="1"/>
  <c r="BN36" i="1" l="1"/>
  <c r="Q36" i="1"/>
  <c r="M35" i="1"/>
  <c r="BE37" i="1" l="1"/>
  <c r="BF37" i="1"/>
  <c r="BG37" i="1" l="1"/>
  <c r="AO37" i="1"/>
  <c r="AP37" i="1" l="1"/>
  <c r="AT37" i="1" s="1"/>
  <c r="AS37" i="1"/>
  <c r="AQ37" i="1" l="1"/>
  <c r="AU37" i="1" s="1"/>
  <c r="AX37" i="1" s="1"/>
  <c r="BB37" i="1" s="1"/>
  <c r="BJ37" i="1" s="1"/>
  <c r="AW37" i="1" l="1"/>
  <c r="BA37" i="1" s="1"/>
  <c r="BI37" i="1" s="1"/>
  <c r="S37" i="1"/>
  <c r="AY37" i="1" l="1"/>
  <c r="BC37" i="1" s="1"/>
  <c r="N37" i="1"/>
  <c r="T37" i="1" l="1"/>
  <c r="L36" i="1"/>
  <c r="BK37" i="1"/>
  <c r="BM37" i="1" s="1"/>
  <c r="BO37" i="1" s="1"/>
  <c r="AH38" i="1"/>
  <c r="AI38" i="1"/>
  <c r="AG38" i="1"/>
  <c r="BN37" i="1"/>
  <c r="O37" i="1"/>
  <c r="Q37" i="1" l="1"/>
  <c r="M36" i="1"/>
  <c r="BG38" i="1" l="1"/>
  <c r="BF38" i="1"/>
  <c r="BE38" i="1"/>
  <c r="AO38" i="1" l="1"/>
  <c r="AP38" i="1" s="1"/>
  <c r="AT38" i="1" s="1"/>
  <c r="AQ38" i="1" l="1"/>
  <c r="AU38" i="1" s="1"/>
  <c r="AS38" i="1"/>
  <c r="AW38" i="1" l="1"/>
  <c r="AX38" i="1"/>
  <c r="BB38" i="1" s="1"/>
  <c r="BJ38" i="1" s="1"/>
  <c r="S38" i="1"/>
  <c r="AY38" i="1" l="1"/>
  <c r="BC38" i="1" s="1"/>
  <c r="BK38" i="1" s="1"/>
  <c r="BA38" i="1"/>
  <c r="BI38" i="1" s="1"/>
  <c r="N38" i="1"/>
  <c r="T38" i="1" l="1"/>
  <c r="L37" i="1"/>
  <c r="AG39" i="1"/>
  <c r="BM38" i="1"/>
  <c r="BO38" i="1" s="1"/>
  <c r="AI39" i="1"/>
  <c r="AH39" i="1"/>
  <c r="BN38" i="1"/>
  <c r="O38" i="1"/>
  <c r="Q38" i="1" l="1"/>
  <c r="M37" i="1"/>
  <c r="BG39" i="1" l="1"/>
  <c r="BE39" i="1"/>
  <c r="BF39" i="1"/>
  <c r="AO39" i="1" l="1"/>
  <c r="AS39" i="1" s="1"/>
  <c r="AP39" i="1" l="1"/>
  <c r="AT39" i="1" s="1"/>
  <c r="AQ39" i="1" l="1"/>
  <c r="AU39" i="1" s="1"/>
  <c r="AW39" i="1" s="1"/>
  <c r="BA39" i="1" s="1"/>
  <c r="BI39" i="1" s="1"/>
  <c r="S39" i="1"/>
  <c r="AX39" i="1" l="1"/>
  <c r="BB39" i="1" s="1"/>
  <c r="BJ39" i="1" s="1"/>
  <c r="N39" i="1"/>
  <c r="L38" i="1" l="1"/>
  <c r="AY39" i="1"/>
  <c r="BC39" i="1" s="1"/>
  <c r="T39" i="1"/>
  <c r="O39" i="1"/>
  <c r="BK39" i="1" l="1"/>
  <c r="BM39" i="1" s="1"/>
  <c r="BN39" i="1" s="1"/>
  <c r="AI40" i="1"/>
  <c r="AG40" i="1"/>
  <c r="AH40" i="1"/>
  <c r="Q39" i="1"/>
  <c r="M38" i="1"/>
  <c r="BO39" i="1" l="1"/>
  <c r="BE40" i="1"/>
  <c r="BF40" i="1"/>
  <c r="BG40" i="1" l="1"/>
  <c r="AO40" i="1"/>
  <c r="AS40" i="1" s="1"/>
  <c r="AP40" i="1" l="1"/>
  <c r="AT40" i="1" s="1"/>
  <c r="AQ40" i="1" l="1"/>
  <c r="AU40" i="1" s="1"/>
  <c r="AW40" i="1" s="1"/>
  <c r="BA40" i="1" s="1"/>
  <c r="BI40" i="1" s="1"/>
  <c r="AX40" i="1" l="1"/>
  <c r="BB40" i="1" s="1"/>
  <c r="BJ40" i="1" s="1"/>
  <c r="AY40" i="1"/>
  <c r="BC40" i="1" s="1"/>
  <c r="S40" i="1"/>
  <c r="N40" i="1"/>
  <c r="L39" i="1" l="1"/>
  <c r="BK40" i="1"/>
  <c r="BM40" i="1" s="1"/>
  <c r="BO40" i="1" s="1"/>
  <c r="AI41" i="1"/>
  <c r="AG41" i="1"/>
  <c r="AH41" i="1"/>
  <c r="T40" i="1"/>
  <c r="O40" i="1"/>
  <c r="BN40" i="1" l="1"/>
  <c r="Q40" i="1"/>
  <c r="M39" i="1"/>
  <c r="BG41" i="1" l="1"/>
  <c r="BF41" i="1"/>
  <c r="BE41" i="1"/>
  <c r="AO41" i="1"/>
  <c r="AS41" i="1" l="1"/>
  <c r="AP41" i="1"/>
  <c r="AT41" i="1" s="1"/>
  <c r="AQ41" i="1" l="1"/>
  <c r="AU41" i="1" s="1"/>
  <c r="AW41" i="1" s="1"/>
  <c r="BA41" i="1" s="1"/>
  <c r="BI41" i="1" s="1"/>
  <c r="AX41" i="1" l="1"/>
  <c r="BB41" i="1" s="1"/>
  <c r="BJ41" i="1" s="1"/>
  <c r="S41" i="1"/>
  <c r="AY41" i="1" l="1"/>
  <c r="BC41" i="1" s="1"/>
  <c r="BK41" i="1" s="1"/>
  <c r="BM41" i="1" s="1"/>
  <c r="BO41" i="1" s="1"/>
  <c r="N41" i="1"/>
  <c r="BN41" i="1"/>
  <c r="L41" i="1" l="1"/>
  <c r="L40" i="1"/>
  <c r="T41" i="1"/>
  <c r="O41" i="1"/>
  <c r="Q41" i="1" l="1"/>
  <c r="M40" i="1"/>
</calcChain>
</file>

<file path=xl/sharedStrings.xml><?xml version="1.0" encoding="utf-8"?>
<sst xmlns="http://schemas.openxmlformats.org/spreadsheetml/2006/main" count="465" uniqueCount="71">
  <si>
    <t>Disease spread parameters</t>
  </si>
  <si>
    <t>Population</t>
  </si>
  <si>
    <t>% mild</t>
  </si>
  <si>
    <t>Testing parameters</t>
  </si>
  <si>
    <t>False negative rate</t>
  </si>
  <si>
    <t>False positive rate</t>
  </si>
  <si>
    <t>Population parameters</t>
  </si>
  <si>
    <t>Susceptible</t>
  </si>
  <si>
    <t>Asymptomatic</t>
  </si>
  <si>
    <t>Tests available</t>
  </si>
  <si>
    <t>Rationed tests</t>
  </si>
  <si>
    <t>On-demand tests</t>
  </si>
  <si>
    <t>Share of tests that are positive</t>
  </si>
  <si>
    <t>Actual</t>
  </si>
  <si>
    <t>Date</t>
  </si>
  <si>
    <t>Severe</t>
  </si>
  <si>
    <t>Mild</t>
  </si>
  <si>
    <t>Detected</t>
  </si>
  <si>
    <t>Detection rate</t>
  </si>
  <si>
    <t>New tests</t>
  </si>
  <si>
    <t>% of tests rationed to severe &gt; mild &gt; asymptomatic</t>
  </si>
  <si>
    <t>Actual new cases</t>
  </si>
  <si>
    <t># desiring test by symptoms</t>
  </si>
  <si>
    <t>Allocation of rationed tests</t>
  </si>
  <si>
    <t>Unfilled test demand after rationed tests</t>
  </si>
  <si>
    <t>Total tests conducted</t>
  </si>
  <si>
    <t>Share of patients who are actually positive</t>
  </si>
  <si>
    <t>Number of positive tests</t>
  </si>
  <si>
    <t>Share positive</t>
  </si>
  <si>
    <t>Reported new positives (w/o lag)</t>
  </si>
  <si>
    <t>Target Ro</t>
  </si>
  <si>
    <t>No</t>
  </si>
  <si>
    <t>Yes, slightly</t>
  </si>
  <si>
    <t>Yes, moderately</t>
  </si>
  <si>
    <t>Yes, substantailly</t>
  </si>
  <si>
    <t>Doubling time in days</t>
  </si>
  <si>
    <t>By Nate Silver / @NateSilver538</t>
  </si>
  <si>
    <t>Allocation of on-demand tests</t>
  </si>
  <si>
    <t>New infections</t>
  </si>
  <si>
    <t>Cumulative infections</t>
  </si>
  <si>
    <t>New detected cases</t>
  </si>
  <si>
    <t>Cumulative detected cases</t>
  </si>
  <si>
    <t>% asymptomatic</t>
  </si>
  <si>
    <t>% of population with severe symptoms for other reasons</t>
  </si>
  <si>
    <t>% of population with mild symptoms for other reasons</t>
  </si>
  <si>
    <t>Population by symptoms</t>
  </si>
  <si>
    <t># of new tests reported</t>
  </si>
  <si>
    <t>Generation</t>
  </si>
  <si>
    <t>% with severe symptoms who want a test per generation</t>
  </si>
  <si>
    <t>% with mild symptoms who want a test per generation</t>
  </si>
  <si>
    <t>% with no symptoms who want a test per generation</t>
  </si>
  <si>
    <t>Initial tests in generation 1</t>
  </si>
  <si>
    <t>Test growth rate per generation during ramp-up</t>
  </si>
  <si>
    <t>Maximum tests per generation (end of ramp-up)</t>
  </si>
  <si>
    <t>Reporting and testing delay, in generations</t>
  </si>
  <si>
    <t>Generation 0 date</t>
  </si>
  <si>
    <t>Initial infections in Generation 0</t>
  </si>
  <si>
    <t>Generation where testing ramp-up begins</t>
  </si>
  <si>
    <t>Infected vs. detected case analysis tool</t>
  </si>
  <si>
    <t>Generation length (serial interval), in days</t>
  </si>
  <si>
    <t>Intermediate measures start in generation:</t>
  </si>
  <si>
    <t>Lockdown starts in generation:</t>
  </si>
  <si>
    <t xml:space="preserve"> </t>
  </si>
  <si>
    <t>Version 1.05 (beta)</t>
  </si>
  <si>
    <t>Actual R</t>
  </si>
  <si>
    <t>Observed R</t>
  </si>
  <si>
    <t>Uncontrolled R</t>
  </si>
  <si>
    <t>Intermediate R</t>
  </si>
  <si>
    <t>Post-lockdown R</t>
  </si>
  <si>
    <t>Adjust late-stage R for clustering</t>
  </si>
  <si>
    <t>Nominal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</si>
</sst>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%"/>
    <numFmt numFmtId="166" formatCode="0.0"/>
    <numFmt numFmtId="167" formatCode="mmm\.\ d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Protection="1"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3" fontId="7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right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166" fontId="6" fillId="3" borderId="0" xfId="0" applyNumberFormat="1" applyFont="1" applyFill="1" applyAlignment="1" applyProtection="1">
      <alignment horizontal="center"/>
      <protection locked="0"/>
    </xf>
    <xf numFmtId="166" fontId="6" fillId="4" borderId="0" xfId="0" applyNumberFormat="1" applyFont="1" applyFill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6" fontId="7" fillId="0" borderId="0" xfId="0" applyNumberFormat="1" applyFont="1" applyAlignment="1" applyProtection="1">
      <alignment horizontal="center"/>
      <protection locked="0"/>
    </xf>
    <xf numFmtId="9" fontId="7" fillId="0" borderId="0" xfId="0" applyNumberFormat="1" applyFont="1" applyAlignment="1" applyProtection="1">
      <alignment horizontal="left"/>
      <protection locked="0"/>
    </xf>
    <xf numFmtId="14" fontId="7" fillId="0" borderId="0" xfId="0" applyNumberFormat="1" applyFont="1" applyAlignment="1" applyProtection="1">
      <alignment horizontal="left"/>
      <protection locked="0"/>
    </xf>
    <xf numFmtId="3" fontId="7" fillId="0" borderId="0" xfId="0" applyNumberFormat="1" applyFont="1" applyAlignment="1" applyProtection="1">
      <alignment horizontal="left"/>
      <protection locked="0"/>
    </xf>
    <xf numFmtId="164" fontId="7" fillId="0" borderId="0" xfId="0" applyNumberFormat="1" applyFont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 applyProtection="1">
      <alignment horizontal="center" wrapText="1"/>
      <protection locked="0"/>
    </xf>
    <xf numFmtId="166" fontId="6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 applyProtection="1">
      <alignment wrapText="1"/>
      <protection locked="0"/>
    </xf>
    <xf numFmtId="3" fontId="7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1" fillId="0" borderId="0" xfId="0" quotePrefix="1" applyFont="1" applyProtection="1">
      <protection locked="0"/>
    </xf>
    <xf numFmtId="1" fontId="6" fillId="0" borderId="0" xfId="0" applyNumberFormat="1" applyFont="1" applyFill="1" applyAlignment="1" applyProtection="1">
      <alignment horizontal="center"/>
      <protection locked="0"/>
    </xf>
    <xf numFmtId="167" fontId="7" fillId="2" borderId="0" xfId="0" applyNumberFormat="1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vidia_1.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not delet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DCFF-1825-AB42-81B6-C713740CE9C0}">
  <dimension ref="A1:BO78"/>
  <sheetViews>
    <sheetView tabSelected="1" zoomScale="99" workbookViewId="0">
      <pane xSplit="3" ySplit="4" topLeftCell="D5" activePane="bottomRight" state="frozen"/>
      <selection activeCell="B11" sqref="B11"/>
      <selection pane="topRight" activeCell="B11" sqref="B11"/>
      <selection pane="bottomLeft" activeCell="B11" sqref="B11"/>
      <selection pane="bottomRight" activeCell="A2" sqref="A2"/>
    </sheetView>
  </sheetViews>
  <sheetFormatPr baseColWidth="10" defaultColWidth="17.83203125" defaultRowHeight="14" customHeight="1" x14ac:dyDescent="0.15"/>
  <cols>
    <col min="1" max="1" width="49.33203125" style="1" customWidth="1"/>
    <col min="2" max="2" width="16.5" style="3" bestFit="1" customWidth="1"/>
    <col min="3" max="3" width="2.6640625" style="1" customWidth="1"/>
    <col min="4" max="4" width="11.33203125" style="36" customWidth="1"/>
    <col min="5" max="5" width="10.1640625" style="1" customWidth="1"/>
    <col min="6" max="6" width="5.1640625" style="4" customWidth="1"/>
    <col min="7" max="7" width="9.1640625" style="1" customWidth="1"/>
    <col min="8" max="8" width="10.6640625" style="31" customWidth="1"/>
    <col min="9" max="9" width="10.5" style="4" customWidth="1"/>
    <col min="10" max="10" width="11.5" style="4" customWidth="1"/>
    <col min="11" max="11" width="5.1640625" style="4" customWidth="1"/>
    <col min="12" max="12" width="9.1640625" style="1" customWidth="1"/>
    <col min="13" max="13" width="9.1640625" style="31" customWidth="1"/>
    <col min="14" max="15" width="11.83203125" style="4" customWidth="1"/>
    <col min="16" max="16" width="5.1640625" style="4" customWidth="1"/>
    <col min="17" max="17" width="14.1640625" style="4" customWidth="1"/>
    <col min="18" max="18" width="5.1640625" style="4" customWidth="1"/>
    <col min="19" max="19" width="11.1640625" style="4" customWidth="1"/>
    <col min="20" max="20" width="12.1640625" style="4" customWidth="1"/>
    <col min="21" max="21" width="5.1640625" style="32" customWidth="1"/>
    <col min="22" max="22" width="8.33203125" style="27" customWidth="1"/>
    <col min="23" max="23" width="14.1640625" style="2" customWidth="1"/>
    <col min="24" max="24" width="5.1640625" style="4" customWidth="1"/>
    <col min="25" max="27" width="14.33203125" style="4" customWidth="1"/>
    <col min="28" max="28" width="5.1640625" style="4" customWidth="1"/>
    <col min="29" max="31" width="17.83203125" style="4" customWidth="1"/>
    <col min="32" max="32" width="5.1640625" style="4" customWidth="1"/>
    <col min="33" max="35" width="17.83203125" style="1" customWidth="1"/>
    <col min="36" max="36" width="5.1640625" style="4" customWidth="1"/>
    <col min="37" max="39" width="17.83203125" style="1" customWidth="1"/>
    <col min="40" max="40" width="5.1640625" style="4" customWidth="1"/>
    <col min="41" max="43" width="17.83203125" style="1" customWidth="1"/>
    <col min="44" max="44" width="5.1640625" style="4" customWidth="1"/>
    <col min="45" max="47" width="17.83203125" style="1" customWidth="1"/>
    <col min="48" max="48" width="5.1640625" style="4" customWidth="1"/>
    <col min="49" max="51" width="17.83203125" style="1" customWidth="1"/>
    <col min="52" max="52" width="5.1640625" style="4" customWidth="1"/>
    <col min="53" max="55" width="17.83203125" style="1" customWidth="1"/>
    <col min="56" max="56" width="5.1640625" style="4" customWidth="1"/>
    <col min="57" max="59" width="17.83203125" style="1" customWidth="1"/>
    <col min="60" max="60" width="5.1640625" style="4" customWidth="1"/>
    <col min="61" max="63" width="17.83203125" style="1" customWidth="1"/>
    <col min="64" max="64" width="5.1640625" style="4" customWidth="1"/>
    <col min="65" max="65" width="17.83203125" style="1"/>
    <col min="66" max="67" width="17.83203125" style="4"/>
    <col min="68" max="16384" width="17.83203125" style="1"/>
  </cols>
  <sheetData>
    <row r="1" spans="1:67" ht="20" customHeight="1" x14ac:dyDescent="0.2">
      <c r="A1" s="6" t="s">
        <v>58</v>
      </c>
    </row>
    <row r="2" spans="1:67" ht="14" customHeight="1" x14ac:dyDescent="0.15">
      <c r="A2" s="1" t="s">
        <v>63</v>
      </c>
    </row>
    <row r="3" spans="1:67" ht="14" customHeight="1" x14ac:dyDescent="0.2">
      <c r="A3" s="39" t="s">
        <v>36</v>
      </c>
      <c r="F3" s="5"/>
      <c r="G3" s="44" t="s">
        <v>13</v>
      </c>
      <c r="H3" s="44"/>
      <c r="I3" s="45"/>
      <c r="J3" s="45"/>
      <c r="K3" s="5"/>
      <c r="L3" s="44" t="s">
        <v>17</v>
      </c>
      <c r="M3" s="44"/>
      <c r="N3" s="45"/>
      <c r="O3" s="45"/>
      <c r="P3" s="5"/>
      <c r="Q3" s="5"/>
      <c r="R3" s="5"/>
      <c r="S3" s="46" t="s">
        <v>19</v>
      </c>
      <c r="T3" s="46"/>
      <c r="U3" s="33"/>
      <c r="V3" s="28"/>
      <c r="X3" s="5"/>
      <c r="Y3" s="42" t="s">
        <v>21</v>
      </c>
      <c r="Z3" s="47"/>
      <c r="AA3" s="47"/>
      <c r="AB3" s="5"/>
      <c r="AC3" s="42" t="s">
        <v>45</v>
      </c>
      <c r="AD3" s="47"/>
      <c r="AE3" s="47"/>
      <c r="AF3" s="5"/>
      <c r="AG3" s="42" t="s">
        <v>22</v>
      </c>
      <c r="AH3" s="47"/>
      <c r="AI3" s="47"/>
      <c r="AJ3" s="5"/>
      <c r="AN3" s="5"/>
      <c r="AO3" s="42" t="s">
        <v>23</v>
      </c>
      <c r="AP3" s="43"/>
      <c r="AQ3" s="43"/>
      <c r="AR3" s="5"/>
      <c r="AS3" s="42" t="s">
        <v>24</v>
      </c>
      <c r="AT3" s="43"/>
      <c r="AU3" s="43"/>
      <c r="AV3" s="5"/>
      <c r="AW3" s="42" t="s">
        <v>37</v>
      </c>
      <c r="AX3" s="43"/>
      <c r="AY3" s="43"/>
      <c r="AZ3" s="5"/>
      <c r="BA3" s="42" t="s">
        <v>25</v>
      </c>
      <c r="BB3" s="43"/>
      <c r="BC3" s="43"/>
      <c r="BD3" s="5"/>
      <c r="BE3" s="42" t="s">
        <v>26</v>
      </c>
      <c r="BF3" s="43"/>
      <c r="BG3" s="43"/>
      <c r="BH3" s="5"/>
      <c r="BI3" s="42" t="s">
        <v>27</v>
      </c>
      <c r="BJ3" s="43"/>
      <c r="BK3" s="43"/>
      <c r="BL3" s="5"/>
    </row>
    <row r="4" spans="1:67" s="9" customFormat="1" ht="61" customHeight="1" x14ac:dyDescent="0.15">
      <c r="A4" s="7" t="s">
        <v>0</v>
      </c>
      <c r="B4" s="8"/>
      <c r="D4" s="37" t="s">
        <v>47</v>
      </c>
      <c r="E4" s="10" t="s">
        <v>14</v>
      </c>
      <c r="F4" s="11"/>
      <c r="G4" s="12" t="s">
        <v>64</v>
      </c>
      <c r="H4" s="29" t="s">
        <v>35</v>
      </c>
      <c r="I4" s="12" t="s">
        <v>38</v>
      </c>
      <c r="J4" s="12" t="s">
        <v>39</v>
      </c>
      <c r="K4" s="11"/>
      <c r="L4" s="12" t="s">
        <v>65</v>
      </c>
      <c r="M4" s="29" t="s">
        <v>35</v>
      </c>
      <c r="N4" s="12" t="s">
        <v>40</v>
      </c>
      <c r="O4" s="12" t="s">
        <v>41</v>
      </c>
      <c r="P4" s="11"/>
      <c r="Q4" s="12" t="s">
        <v>18</v>
      </c>
      <c r="R4" s="11"/>
      <c r="S4" s="12" t="s">
        <v>46</v>
      </c>
      <c r="T4" s="12" t="s">
        <v>28</v>
      </c>
      <c r="U4" s="34"/>
      <c r="V4" s="29" t="s">
        <v>30</v>
      </c>
      <c r="W4" s="13" t="s">
        <v>7</v>
      </c>
      <c r="X4" s="11"/>
      <c r="Y4" s="14" t="s">
        <v>15</v>
      </c>
      <c r="Z4" s="14" t="s">
        <v>16</v>
      </c>
      <c r="AA4" s="14" t="s">
        <v>8</v>
      </c>
      <c r="AB4" s="11"/>
      <c r="AC4" s="14" t="s">
        <v>15</v>
      </c>
      <c r="AD4" s="14" t="s">
        <v>16</v>
      </c>
      <c r="AE4" s="14" t="s">
        <v>8</v>
      </c>
      <c r="AF4" s="11"/>
      <c r="AG4" s="14" t="s">
        <v>15</v>
      </c>
      <c r="AH4" s="14" t="s">
        <v>16</v>
      </c>
      <c r="AI4" s="14" t="s">
        <v>8</v>
      </c>
      <c r="AJ4" s="11"/>
      <c r="AK4" s="14" t="s">
        <v>9</v>
      </c>
      <c r="AL4" s="14" t="s">
        <v>10</v>
      </c>
      <c r="AM4" s="14" t="s">
        <v>11</v>
      </c>
      <c r="AN4" s="11"/>
      <c r="AO4" s="14" t="s">
        <v>15</v>
      </c>
      <c r="AP4" s="14" t="s">
        <v>16</v>
      </c>
      <c r="AQ4" s="14" t="s">
        <v>8</v>
      </c>
      <c r="AR4" s="11"/>
      <c r="AS4" s="14" t="s">
        <v>15</v>
      </c>
      <c r="AT4" s="14" t="s">
        <v>16</v>
      </c>
      <c r="AU4" s="14" t="s">
        <v>8</v>
      </c>
      <c r="AV4" s="11"/>
      <c r="AW4" s="14" t="s">
        <v>15</v>
      </c>
      <c r="AX4" s="14" t="s">
        <v>16</v>
      </c>
      <c r="AY4" s="14" t="s">
        <v>8</v>
      </c>
      <c r="AZ4" s="11"/>
      <c r="BA4" s="14" t="s">
        <v>15</v>
      </c>
      <c r="BB4" s="14" t="s">
        <v>16</v>
      </c>
      <c r="BC4" s="14" t="s">
        <v>8</v>
      </c>
      <c r="BD4" s="11"/>
      <c r="BE4" s="14" t="s">
        <v>15</v>
      </c>
      <c r="BF4" s="14" t="s">
        <v>16</v>
      </c>
      <c r="BG4" s="14" t="s">
        <v>8</v>
      </c>
      <c r="BH4" s="11"/>
      <c r="BI4" s="14" t="s">
        <v>15</v>
      </c>
      <c r="BJ4" s="14" t="s">
        <v>16</v>
      </c>
      <c r="BK4" s="14" t="s">
        <v>8</v>
      </c>
      <c r="BL4" s="11"/>
      <c r="BM4" s="14" t="s">
        <v>29</v>
      </c>
      <c r="BN4" s="14" t="s">
        <v>70</v>
      </c>
      <c r="BO4" s="14" t="s">
        <v>12</v>
      </c>
    </row>
    <row r="5" spans="1:67" s="9" customFormat="1" ht="13" customHeight="1" x14ac:dyDescent="0.2">
      <c r="A5" s="15" t="s">
        <v>66</v>
      </c>
      <c r="B5" s="8">
        <v>2.7</v>
      </c>
      <c r="D5" s="38">
        <v>0</v>
      </c>
      <c r="E5" s="41">
        <f>Zero_date</f>
        <v>43831</v>
      </c>
      <c r="F5" s="16"/>
      <c r="G5" s="17" t="str">
        <f>IF(OR(I5&lt;10,ISBLANK(I6)),"",I6/I5)</f>
        <v/>
      </c>
      <c r="H5" s="40">
        <f t="shared" ref="H5:H41" si="0">IF(IF(OR(J5=0,ISBLANK(J6)),"",J6/J5)="","",IF(IF(OR(J5=0,ISBLANK(J6)),"",J6/J5)&lt;=1,"∞",Serial*(LN(2)/LN(IF(OR(J5=0,ISBLANK(J6)),"",J6/J5)))))</f>
        <v>2.5</v>
      </c>
      <c r="I5" s="16">
        <f>Initial_cases</f>
        <v>1</v>
      </c>
      <c r="J5" s="16">
        <f>SUM(I$5:I5)</f>
        <v>1</v>
      </c>
      <c r="K5" s="16"/>
      <c r="L5" s="18" t="str">
        <f ca="1">IF(OR(N5&lt;10,ISBLANK(N6)),"",N6/N5)</f>
        <v/>
      </c>
      <c r="M5" s="40" t="str">
        <f t="shared" ref="M5:M40" ca="1" si="1">IF(IF(OR(O5=0,ISBLANK(O6)),"",O6/O5)="","",IF(IF(OR(O5=0,ISBLANK(O6)),"",O6/O5)&lt;=1,"∞",Serial*(LN(2)/LN(IF(OR(O5=0,ISBLANK(O6)),"",O6/O5)))))</f>
        <v/>
      </c>
      <c r="N5" s="16">
        <f t="shared" ref="N5:N40" ca="1" si="2">IF(ISERROR(OFFSET(BM5,-Delay,0)*1),0,OFFSET(BM5,-Delay,0))</f>
        <v>0</v>
      </c>
      <c r="O5" s="16">
        <f ca="1">SUM(N$5:N5)</f>
        <v>0</v>
      </c>
      <c r="P5" s="16"/>
      <c r="Q5" s="19">
        <f ca="1">O5/J5</f>
        <v>0</v>
      </c>
      <c r="R5" s="16"/>
      <c r="S5" s="16">
        <f t="shared" ref="S5:S41" ca="1" si="3">IF(ISERROR(OFFSET(BA5,-Delay,0)+OFFSET(BB5,-Delay,0)+OFFSET(BC5,-Delay,0)),0,OFFSET(BA5,-Delay,0)+OFFSET(BB5,-Delay,0)+OFFSET(BC5,-Delay,0))</f>
        <v>0</v>
      </c>
      <c r="T5" s="19" t="str">
        <f ca="1">IF(S5=0,"",N5/S5)</f>
        <v/>
      </c>
      <c r="U5" s="35"/>
      <c r="V5" s="30">
        <f t="shared" ref="V5:V41" si="4">IF(AND(D5&gt;=Begin_lockdown,Begin_lockdown&lt;&gt;""),Ro_lockdown,IF(AND(D5&gt;=Begin_intermediate,Begin_intermediate&lt;&gt;""),Ro_intermediate,Ro_uncontrolled))</f>
        <v>2.7</v>
      </c>
      <c r="W5" s="16">
        <f t="shared" ref="W5:W41" si="5">Population-J5</f>
        <v>9999999</v>
      </c>
      <c r="X5" s="16"/>
      <c r="Y5" s="16">
        <f t="shared" ref="Y5:Y41" si="6">ROUND(I5*(1-Pct_asy-Pct_mild),0)</f>
        <v>0</v>
      </c>
      <c r="Z5" s="16">
        <f t="shared" ref="Z5:Z41" si="7">ROUND(I5*Pct_mild,0)</f>
        <v>1</v>
      </c>
      <c r="AA5" s="16">
        <f t="shared" ref="AA5:AA41" si="8">I5-Y5-Z5</f>
        <v>0</v>
      </c>
      <c r="AB5" s="16"/>
      <c r="AC5" s="16">
        <f t="shared" ref="AC5:AC41" si="9">ROUND((Population-SUM(Y5:AA5))*(Faux_severe),0)+Y5</f>
        <v>10000</v>
      </c>
      <c r="AD5" s="16">
        <f t="shared" ref="AD5:AD41" si="10">ROUND((Population-SUM(Y5:AA5))*(Faux_mild),0)+Z5</f>
        <v>250001</v>
      </c>
      <c r="AE5" s="16">
        <f t="shared" ref="AE5:AE41" si="11">Population-AC5-AD5</f>
        <v>9739999</v>
      </c>
      <c r="AF5" s="16"/>
      <c r="AG5" s="16">
        <f>ROUND(AC5*Desire_severe,0)</f>
        <v>10000</v>
      </c>
      <c r="AH5" s="16">
        <f>ROUND(AD5*Desire_mild,0)</f>
        <v>125001</v>
      </c>
      <c r="AI5" s="16">
        <f t="shared" ref="AI5" si="12">ROUND(AE5*Desire_asy,0)</f>
        <v>194800</v>
      </c>
      <c r="AJ5" s="16"/>
      <c r="AK5" s="16">
        <v>0</v>
      </c>
      <c r="AL5" s="16">
        <f t="shared" ref="AL5:AL35" si="13">ROUND(AK5*Rationed_tests,0)</f>
        <v>0</v>
      </c>
      <c r="AM5" s="16">
        <f>AK5-AL5</f>
        <v>0</v>
      </c>
      <c r="AN5" s="16"/>
      <c r="AO5" s="16">
        <f>MIN(AL5,AG5)</f>
        <v>0</v>
      </c>
      <c r="AP5" s="16">
        <f>MIN(AH5,AL5-AO5)</f>
        <v>0</v>
      </c>
      <c r="AQ5" s="16">
        <f>MIN(AI5,AL5-AO5-AP5)</f>
        <v>0</v>
      </c>
      <c r="AR5" s="16"/>
      <c r="AS5" s="16">
        <f>AG5-AO5</f>
        <v>10000</v>
      </c>
      <c r="AT5" s="16">
        <f t="shared" ref="AT5:AU20" si="14">AH5-AP5</f>
        <v>125001</v>
      </c>
      <c r="AU5" s="16">
        <f t="shared" si="14"/>
        <v>194800</v>
      </c>
      <c r="AV5" s="16"/>
      <c r="AW5" s="16">
        <f>IF(SUM($AS5:$AU5)=0,0,ROUND($AM5*AS5/SUM($AS5:$AU5),0))</f>
        <v>0</v>
      </c>
      <c r="AX5" s="16">
        <f t="shared" ref="AX5:AX41" si="15">IF(SUM($AS5:$AU5)=0,0,ROUND($AM5*AT5/SUM($AS5:$AU5),0))</f>
        <v>0</v>
      </c>
      <c r="AY5" s="16">
        <f>IF(SUM($AS5:$AU5)=0,0,MIN(AU5,AM5-AW5-AX5))</f>
        <v>0</v>
      </c>
      <c r="AZ5" s="16"/>
      <c r="BA5" s="16">
        <f>AW5+AO5</f>
        <v>0</v>
      </c>
      <c r="BB5" s="16">
        <f t="shared" ref="BB5:BC20" si="16">AX5+AP5</f>
        <v>0</v>
      </c>
      <c r="BC5" s="16">
        <f t="shared" si="16"/>
        <v>0</v>
      </c>
      <c r="BD5" s="16"/>
      <c r="BE5" s="20">
        <f>Y5/AC5</f>
        <v>0</v>
      </c>
      <c r="BF5" s="20">
        <f t="shared" ref="BF5:BG20" si="17">Z5/AD5</f>
        <v>3.9999840000639995E-6</v>
      </c>
      <c r="BG5" s="20">
        <f t="shared" si="17"/>
        <v>0</v>
      </c>
      <c r="BH5" s="16"/>
      <c r="BI5" s="16">
        <f t="shared" ref="BI5:BI40" si="18">ROUND(BA5*BE5*(1-False_negative),0)+ROUND(BA5*(1-BE5)*(False_positive),0)</f>
        <v>0</v>
      </c>
      <c r="BJ5" s="16">
        <f t="shared" ref="BJ5:BJ40" si="19">ROUND(BB5*BF5*(1-False_negative),0)+ROUND(BB5*(1-BF5)*(False_positive),0)</f>
        <v>0</v>
      </c>
      <c r="BK5" s="16">
        <f t="shared" ref="BK5:BK40" si="20">ROUND(BC5*BG5*(1-False_negative),0)+ROUND(BC5*(1-BG5)*(False_positive),0)</f>
        <v>0</v>
      </c>
      <c r="BL5" s="16"/>
      <c r="BM5" s="16">
        <f>BI5+BJ5+BK5</f>
        <v>0</v>
      </c>
      <c r="BN5" s="21"/>
      <c r="BO5" s="21"/>
    </row>
    <row r="6" spans="1:67" s="9" customFormat="1" ht="13" customHeight="1" x14ac:dyDescent="0.2">
      <c r="A6" s="15" t="s">
        <v>67</v>
      </c>
      <c r="B6" s="8">
        <v>1.4</v>
      </c>
      <c r="D6" s="38">
        <f>D5+1</f>
        <v>1</v>
      </c>
      <c r="E6" s="41">
        <f t="shared" ref="E6:E41" si="21">E5+Serial</f>
        <v>43836</v>
      </c>
      <c r="F6" s="16"/>
      <c r="G6" s="17" t="str">
        <f t="shared" ref="G6:G41" si="22">IF(OR(I6&lt;10,ISBLANK(I7)),"",I7/I6)</f>
        <v/>
      </c>
      <c r="H6" s="40">
        <f t="shared" si="0"/>
        <v>3.154648767857287</v>
      </c>
      <c r="I6" s="16">
        <f t="shared" ref="I6:I41" si="23">ROUND(W5*(1-(1-((V5*(1-J5/Population)^VLOOKUP(Cluster,Cluster_vlookup,2,0))/Population))^I5),0)</f>
        <v>3</v>
      </c>
      <c r="J6" s="16">
        <f>SUM(I$5:I6)</f>
        <v>4</v>
      </c>
      <c r="K6" s="16"/>
      <c r="L6" s="18" t="str">
        <f t="shared" ref="L6:L41" ca="1" si="24">IF(OR(N6&lt;10,ISBLANK(N7)),"",N7/N6)</f>
        <v/>
      </c>
      <c r="M6" s="40" t="str">
        <f t="shared" ca="1" si="1"/>
        <v/>
      </c>
      <c r="N6" s="16">
        <f t="shared" ca="1" si="2"/>
        <v>0</v>
      </c>
      <c r="O6" s="16">
        <f ca="1">SUM(N$5:N6)</f>
        <v>0</v>
      </c>
      <c r="P6" s="16"/>
      <c r="Q6" s="19">
        <f t="shared" ref="Q6:Q41" ca="1" si="25">O6/J6</f>
        <v>0</v>
      </c>
      <c r="R6" s="16"/>
      <c r="S6" s="16">
        <f t="shared" ca="1" si="3"/>
        <v>0</v>
      </c>
      <c r="T6" s="19" t="str">
        <f t="shared" ref="T6:T41" ca="1" si="26">IF(S6=0,"",N6/S6)</f>
        <v/>
      </c>
      <c r="U6" s="35"/>
      <c r="V6" s="30">
        <f t="shared" si="4"/>
        <v>2.7</v>
      </c>
      <c r="W6" s="16">
        <f t="shared" si="5"/>
        <v>9999996</v>
      </c>
      <c r="X6" s="16"/>
      <c r="Y6" s="16">
        <f t="shared" si="6"/>
        <v>0</v>
      </c>
      <c r="Z6" s="16">
        <f t="shared" si="7"/>
        <v>2</v>
      </c>
      <c r="AA6" s="16">
        <f t="shared" si="8"/>
        <v>1</v>
      </c>
      <c r="AB6" s="16"/>
      <c r="AC6" s="16">
        <f t="shared" si="9"/>
        <v>10000</v>
      </c>
      <c r="AD6" s="16">
        <f t="shared" si="10"/>
        <v>250002</v>
      </c>
      <c r="AE6" s="16">
        <f t="shared" si="11"/>
        <v>9739998</v>
      </c>
      <c r="AF6" s="16"/>
      <c r="AG6" s="16">
        <f>ROUND(AC6*Desire_severe*(1-SUM($BA$5:$BC5)/Population),0)</f>
        <v>10000</v>
      </c>
      <c r="AH6" s="16">
        <f>ROUND(AD6*Desire_mild*(1-SUM($BA$5:$BC5)/Population),0)</f>
        <v>125001</v>
      </c>
      <c r="AI6" s="16">
        <f>ROUND(AE6*Desire_asy*(1-SUM($BA$5:$BC5)/Population),0)</f>
        <v>194800</v>
      </c>
      <c r="AJ6" s="16"/>
      <c r="AK6" s="16">
        <f>Initial_tests</f>
        <v>1000</v>
      </c>
      <c r="AL6" s="16">
        <f t="shared" si="13"/>
        <v>750</v>
      </c>
      <c r="AM6" s="16">
        <f t="shared" ref="AM6:AM41" si="27">AK6-AL6</f>
        <v>250</v>
      </c>
      <c r="AN6" s="16"/>
      <c r="AO6" s="16">
        <f>MIN(AL6,AG6)</f>
        <v>750</v>
      </c>
      <c r="AP6" s="16">
        <f>MIN(AH6,AL6-AO6)</f>
        <v>0</v>
      </c>
      <c r="AQ6" s="16">
        <f t="shared" ref="AQ6:AQ41" si="28">MIN(AI6,AL6-AO6-AP6)</f>
        <v>0</v>
      </c>
      <c r="AR6" s="16"/>
      <c r="AS6" s="16">
        <f>AG6-AO6</f>
        <v>9250</v>
      </c>
      <c r="AT6" s="16">
        <f t="shared" si="14"/>
        <v>125001</v>
      </c>
      <c r="AU6" s="16">
        <f t="shared" si="14"/>
        <v>194800</v>
      </c>
      <c r="AV6" s="16"/>
      <c r="AW6" s="16">
        <f t="shared" ref="AW6:AW41" si="29">IF(SUM($AS6:$AU6)=0,0,ROUND($AM6*AS6/SUM($AS6:$AU6),0))</f>
        <v>7</v>
      </c>
      <c r="AX6" s="16">
        <f t="shared" si="15"/>
        <v>95</v>
      </c>
      <c r="AY6" s="16">
        <f t="shared" ref="AY6:AY41" si="30">IF(SUM($AS6:$AU6)=0,0,MIN(AU6,AM6-AW6-AX6))</f>
        <v>148</v>
      </c>
      <c r="AZ6" s="16"/>
      <c r="BA6" s="16">
        <f t="shared" ref="BA6:BC35" si="31">AW6+AO6</f>
        <v>757</v>
      </c>
      <c r="BB6" s="16">
        <f t="shared" si="16"/>
        <v>95</v>
      </c>
      <c r="BC6" s="16">
        <f t="shared" si="16"/>
        <v>148</v>
      </c>
      <c r="BD6" s="16"/>
      <c r="BE6" s="20">
        <f t="shared" ref="BE6:BG35" si="32">Y6/AC6</f>
        <v>0</v>
      </c>
      <c r="BF6" s="20">
        <f t="shared" si="17"/>
        <v>7.9999360005119954E-6</v>
      </c>
      <c r="BG6" s="20">
        <f t="shared" si="17"/>
        <v>1.0266942559947138E-7</v>
      </c>
      <c r="BH6" s="16"/>
      <c r="BI6" s="16">
        <f t="shared" si="18"/>
        <v>4</v>
      </c>
      <c r="BJ6" s="16">
        <f t="shared" si="19"/>
        <v>0</v>
      </c>
      <c r="BK6" s="16">
        <f t="shared" si="20"/>
        <v>1</v>
      </c>
      <c r="BL6" s="16"/>
      <c r="BM6" s="16">
        <f t="shared" ref="BM6:BM41" si="33">BI6+BJ6+BK6</f>
        <v>5</v>
      </c>
      <c r="BN6" s="21" t="str">
        <f>IF(BM5=0,"",BM6/BM5)</f>
        <v/>
      </c>
      <c r="BO6" s="21"/>
    </row>
    <row r="7" spans="1:67" s="9" customFormat="1" ht="13" customHeight="1" x14ac:dyDescent="0.2">
      <c r="A7" s="15" t="s">
        <v>68</v>
      </c>
      <c r="B7" s="8">
        <v>0.7</v>
      </c>
      <c r="D7" s="38">
        <f t="shared" ref="D7:D41" si="34">D6+1</f>
        <v>2</v>
      </c>
      <c r="E7" s="41">
        <f t="shared" si="21"/>
        <v>43841</v>
      </c>
      <c r="F7" s="16"/>
      <c r="G7" s="17" t="str">
        <f t="shared" si="22"/>
        <v/>
      </c>
      <c r="H7" s="40">
        <f t="shared" si="0"/>
        <v>3.3277862674154139</v>
      </c>
      <c r="I7" s="16">
        <f t="shared" si="23"/>
        <v>8</v>
      </c>
      <c r="J7" s="16">
        <f>SUM(I$5:I7)</f>
        <v>12</v>
      </c>
      <c r="K7" s="16"/>
      <c r="L7" s="18" t="str">
        <f t="shared" ca="1" si="24"/>
        <v/>
      </c>
      <c r="M7" s="40" t="str">
        <f t="shared" ca="1" si="1"/>
        <v/>
      </c>
      <c r="N7" s="16">
        <f t="shared" ca="1" si="2"/>
        <v>0</v>
      </c>
      <c r="O7" s="16">
        <f ca="1">SUM(N$5:N7)</f>
        <v>0</v>
      </c>
      <c r="P7" s="16"/>
      <c r="Q7" s="19">
        <f t="shared" ca="1" si="25"/>
        <v>0</v>
      </c>
      <c r="R7" s="16"/>
      <c r="S7" s="16">
        <f t="shared" ca="1" si="3"/>
        <v>0</v>
      </c>
      <c r="T7" s="19" t="str">
        <f t="shared" ca="1" si="26"/>
        <v/>
      </c>
      <c r="U7" s="35"/>
      <c r="V7" s="30">
        <f t="shared" si="4"/>
        <v>2.7</v>
      </c>
      <c r="W7" s="16">
        <f t="shared" si="5"/>
        <v>9999988</v>
      </c>
      <c r="X7" s="16"/>
      <c r="Y7" s="16">
        <f t="shared" si="6"/>
        <v>1</v>
      </c>
      <c r="Z7" s="16">
        <f t="shared" si="7"/>
        <v>5</v>
      </c>
      <c r="AA7" s="16">
        <f t="shared" si="8"/>
        <v>2</v>
      </c>
      <c r="AB7" s="16"/>
      <c r="AC7" s="16">
        <f t="shared" si="9"/>
        <v>10001</v>
      </c>
      <c r="AD7" s="16">
        <f t="shared" si="10"/>
        <v>250005</v>
      </c>
      <c r="AE7" s="16">
        <f t="shared" si="11"/>
        <v>9739994</v>
      </c>
      <c r="AF7" s="16"/>
      <c r="AG7" s="16">
        <f>ROUND(AC7*Desire_severe*(1-SUM($BA$5:$BC6)/Population),0)</f>
        <v>10000</v>
      </c>
      <c r="AH7" s="16">
        <f>ROUND(AD7*Desire_mild*(1-SUM($BA$5:$BC6)/Population),0)</f>
        <v>124990</v>
      </c>
      <c r="AI7" s="16">
        <f>ROUND(AE7*Desire_asy*(1-SUM($BA$5:$BC6)/Population),0)</f>
        <v>194780</v>
      </c>
      <c r="AJ7" s="16"/>
      <c r="AK7" s="16">
        <f t="shared" ref="AK7:AK41" si="35">ROUND(IF(D7&gt;=Ramp_period,MIN(Tests_max,AK6*Test_growth_rate+AK6),AK6),0)</f>
        <v>1000</v>
      </c>
      <c r="AL7" s="16">
        <f t="shared" si="13"/>
        <v>750</v>
      </c>
      <c r="AM7" s="16">
        <f t="shared" si="27"/>
        <v>250</v>
      </c>
      <c r="AN7" s="16"/>
      <c r="AO7" s="16">
        <f t="shared" ref="AO7:AO41" si="36">MIN(AL7,AG7)</f>
        <v>750</v>
      </c>
      <c r="AP7" s="16">
        <f t="shared" ref="AP7:AP41" si="37">MIN(AH7,AL7-AO7)</f>
        <v>0</v>
      </c>
      <c r="AQ7" s="16">
        <f t="shared" si="28"/>
        <v>0</v>
      </c>
      <c r="AR7" s="16"/>
      <c r="AS7" s="16">
        <f t="shared" ref="AS7:AU35" si="38">AG7-AO7</f>
        <v>9250</v>
      </c>
      <c r="AT7" s="16">
        <f t="shared" si="14"/>
        <v>124990</v>
      </c>
      <c r="AU7" s="16">
        <f t="shared" si="14"/>
        <v>194780</v>
      </c>
      <c r="AV7" s="16"/>
      <c r="AW7" s="16">
        <f t="shared" si="29"/>
        <v>7</v>
      </c>
      <c r="AX7" s="16">
        <f t="shared" si="15"/>
        <v>95</v>
      </c>
      <c r="AY7" s="16">
        <f t="shared" si="30"/>
        <v>148</v>
      </c>
      <c r="AZ7" s="16"/>
      <c r="BA7" s="16">
        <f t="shared" si="31"/>
        <v>757</v>
      </c>
      <c r="BB7" s="16">
        <f t="shared" si="16"/>
        <v>95</v>
      </c>
      <c r="BC7" s="16">
        <f t="shared" si="16"/>
        <v>148</v>
      </c>
      <c r="BD7" s="16"/>
      <c r="BE7" s="20">
        <f t="shared" si="32"/>
        <v>9.9990000999900015E-5</v>
      </c>
      <c r="BF7" s="20">
        <f t="shared" si="17"/>
        <v>1.9999600007999841E-5</v>
      </c>
      <c r="BG7" s="20">
        <f t="shared" si="17"/>
        <v>2.0533893552706502E-7</v>
      </c>
      <c r="BH7" s="16"/>
      <c r="BI7" s="16">
        <f t="shared" si="18"/>
        <v>4</v>
      </c>
      <c r="BJ7" s="16">
        <f t="shared" si="19"/>
        <v>0</v>
      </c>
      <c r="BK7" s="16">
        <f t="shared" si="20"/>
        <v>1</v>
      </c>
      <c r="BL7" s="16"/>
      <c r="BM7" s="16">
        <f t="shared" si="33"/>
        <v>5</v>
      </c>
      <c r="BN7" s="22">
        <f t="shared" ref="BN7:BN41" si="39">IF(BM6=0,"",BM7/BM6)</f>
        <v>1</v>
      </c>
      <c r="BO7" s="19">
        <f>BM7/SUM(BA7:BC7)</f>
        <v>5.0000000000000001E-3</v>
      </c>
    </row>
    <row r="8" spans="1:67" s="9" customFormat="1" ht="13" customHeight="1" x14ac:dyDescent="0.2">
      <c r="A8" s="15" t="s">
        <v>69</v>
      </c>
      <c r="B8" s="8" t="s">
        <v>32</v>
      </c>
      <c r="D8" s="38">
        <f t="shared" si="34"/>
        <v>3</v>
      </c>
      <c r="E8" s="41">
        <f t="shared" si="21"/>
        <v>43846</v>
      </c>
      <c r="F8" s="16"/>
      <c r="G8" s="17">
        <f t="shared" si="22"/>
        <v>2.6818181818181817</v>
      </c>
      <c r="H8" s="40">
        <f t="shared" si="0"/>
        <v>3.4442473519370203</v>
      </c>
      <c r="I8" s="16">
        <f t="shared" si="23"/>
        <v>22</v>
      </c>
      <c r="J8" s="16">
        <f>SUM(I$5:I8)</f>
        <v>34</v>
      </c>
      <c r="K8" s="16"/>
      <c r="L8" s="18" t="str">
        <f t="shared" ca="1" si="24"/>
        <v/>
      </c>
      <c r="M8" s="40">
        <f t="shared" ca="1" si="1"/>
        <v>5</v>
      </c>
      <c r="N8" s="16">
        <f t="shared" ca="1" si="2"/>
        <v>5</v>
      </c>
      <c r="O8" s="16">
        <f ca="1">SUM(N$5:N8)</f>
        <v>5</v>
      </c>
      <c r="P8" s="16"/>
      <c r="Q8" s="19">
        <f t="shared" ca="1" si="25"/>
        <v>0.14705882352941177</v>
      </c>
      <c r="R8" s="16"/>
      <c r="S8" s="16">
        <f t="shared" ca="1" si="3"/>
        <v>1000</v>
      </c>
      <c r="T8" s="19">
        <f t="shared" ca="1" si="26"/>
        <v>5.0000000000000001E-3</v>
      </c>
      <c r="U8" s="35"/>
      <c r="V8" s="30">
        <f t="shared" si="4"/>
        <v>2.7</v>
      </c>
      <c r="W8" s="16">
        <f t="shared" si="5"/>
        <v>9999966</v>
      </c>
      <c r="X8" s="16"/>
      <c r="Y8" s="16">
        <f t="shared" si="6"/>
        <v>2</v>
      </c>
      <c r="Z8" s="16">
        <f t="shared" si="7"/>
        <v>13</v>
      </c>
      <c r="AA8" s="16">
        <f t="shared" si="8"/>
        <v>7</v>
      </c>
      <c r="AB8" s="16"/>
      <c r="AC8" s="16">
        <f t="shared" si="9"/>
        <v>10002</v>
      </c>
      <c r="AD8" s="16">
        <f t="shared" si="10"/>
        <v>250012</v>
      </c>
      <c r="AE8" s="16">
        <f t="shared" si="11"/>
        <v>9739986</v>
      </c>
      <c r="AF8" s="16"/>
      <c r="AG8" s="16">
        <f>ROUND(AC8*Desire_severe*(1-SUM($BA$5:$BC7)/Population),0)</f>
        <v>10000</v>
      </c>
      <c r="AH8" s="16">
        <f>ROUND(AD8*Desire_mild*(1-SUM($BA$5:$BC7)/Population),0)</f>
        <v>124981</v>
      </c>
      <c r="AI8" s="16">
        <f>ROUND(AE8*Desire_asy*(1-SUM($BA$5:$BC7)/Population),0)</f>
        <v>194761</v>
      </c>
      <c r="AJ8" s="16"/>
      <c r="AK8" s="16">
        <f t="shared" si="35"/>
        <v>1500</v>
      </c>
      <c r="AL8" s="16">
        <f t="shared" si="13"/>
        <v>1125</v>
      </c>
      <c r="AM8" s="16">
        <f t="shared" si="27"/>
        <v>375</v>
      </c>
      <c r="AN8" s="16"/>
      <c r="AO8" s="16">
        <f t="shared" si="36"/>
        <v>1125</v>
      </c>
      <c r="AP8" s="16">
        <f t="shared" si="37"/>
        <v>0</v>
      </c>
      <c r="AQ8" s="16">
        <f t="shared" si="28"/>
        <v>0</v>
      </c>
      <c r="AR8" s="16"/>
      <c r="AS8" s="16">
        <f t="shared" si="38"/>
        <v>8875</v>
      </c>
      <c r="AT8" s="16">
        <f t="shared" si="14"/>
        <v>124981</v>
      </c>
      <c r="AU8" s="16">
        <f t="shared" si="14"/>
        <v>194761</v>
      </c>
      <c r="AV8" s="16"/>
      <c r="AW8" s="16">
        <f t="shared" si="29"/>
        <v>10</v>
      </c>
      <c r="AX8" s="16">
        <f t="shared" si="15"/>
        <v>143</v>
      </c>
      <c r="AY8" s="16">
        <f t="shared" si="30"/>
        <v>222</v>
      </c>
      <c r="AZ8" s="16"/>
      <c r="BA8" s="16">
        <f t="shared" si="31"/>
        <v>1135</v>
      </c>
      <c r="BB8" s="16">
        <f t="shared" si="16"/>
        <v>143</v>
      </c>
      <c r="BC8" s="16">
        <f t="shared" si="16"/>
        <v>222</v>
      </c>
      <c r="BD8" s="16"/>
      <c r="BE8" s="20">
        <f t="shared" si="32"/>
        <v>1.9996000799840031E-4</v>
      </c>
      <c r="BF8" s="20">
        <f t="shared" si="17"/>
        <v>5.1997504119802249E-5</v>
      </c>
      <c r="BG8" s="20">
        <f t="shared" si="17"/>
        <v>7.1868686464231058E-7</v>
      </c>
      <c r="BH8" s="16"/>
      <c r="BI8" s="16">
        <f t="shared" si="18"/>
        <v>6</v>
      </c>
      <c r="BJ8" s="16">
        <f t="shared" si="19"/>
        <v>1</v>
      </c>
      <c r="BK8" s="16">
        <f t="shared" si="20"/>
        <v>1</v>
      </c>
      <c r="BL8" s="16"/>
      <c r="BM8" s="16">
        <f t="shared" si="33"/>
        <v>8</v>
      </c>
      <c r="BN8" s="22">
        <f t="shared" si="39"/>
        <v>1.6</v>
      </c>
      <c r="BO8" s="19">
        <f t="shared" ref="BO8:BO35" si="40">BM8/SUM(BA8:BC8)</f>
        <v>5.3333333333333332E-3</v>
      </c>
    </row>
    <row r="9" spans="1:67" s="9" customFormat="1" ht="13" customHeight="1" x14ac:dyDescent="0.15">
      <c r="B9" s="8"/>
      <c r="D9" s="38">
        <f t="shared" si="34"/>
        <v>4</v>
      </c>
      <c r="E9" s="41">
        <f t="shared" si="21"/>
        <v>43851</v>
      </c>
      <c r="F9" s="16"/>
      <c r="G9" s="17">
        <f t="shared" si="22"/>
        <v>2.6949152542372881</v>
      </c>
      <c r="H9" s="40">
        <f t="shared" si="0"/>
        <v>3.476758638000935</v>
      </c>
      <c r="I9" s="16">
        <f t="shared" si="23"/>
        <v>59</v>
      </c>
      <c r="J9" s="16">
        <f>SUM(I$5:I9)</f>
        <v>93</v>
      </c>
      <c r="K9" s="16"/>
      <c r="L9" s="18" t="str">
        <f t="shared" ca="1" si="24"/>
        <v/>
      </c>
      <c r="M9" s="40">
        <f t="shared" ca="1" si="1"/>
        <v>5.8962479241968797</v>
      </c>
      <c r="N9" s="16">
        <f t="shared" ca="1" si="2"/>
        <v>5</v>
      </c>
      <c r="O9" s="16">
        <f ca="1">SUM(N$5:N9)</f>
        <v>10</v>
      </c>
      <c r="P9" s="16"/>
      <c r="Q9" s="19">
        <f t="shared" ca="1" si="25"/>
        <v>0.10752688172043011</v>
      </c>
      <c r="R9" s="16"/>
      <c r="S9" s="16">
        <f t="shared" ca="1" si="3"/>
        <v>1000</v>
      </c>
      <c r="T9" s="19">
        <f t="shared" ca="1" si="26"/>
        <v>5.0000000000000001E-3</v>
      </c>
      <c r="U9" s="35"/>
      <c r="V9" s="30">
        <f t="shared" si="4"/>
        <v>2.7</v>
      </c>
      <c r="W9" s="16">
        <f t="shared" si="5"/>
        <v>9999907</v>
      </c>
      <c r="X9" s="16"/>
      <c r="Y9" s="16">
        <f t="shared" si="6"/>
        <v>6</v>
      </c>
      <c r="Z9" s="16">
        <f t="shared" si="7"/>
        <v>35</v>
      </c>
      <c r="AA9" s="16">
        <f t="shared" si="8"/>
        <v>18</v>
      </c>
      <c r="AB9" s="16"/>
      <c r="AC9" s="16">
        <f t="shared" si="9"/>
        <v>10006</v>
      </c>
      <c r="AD9" s="16">
        <f t="shared" si="10"/>
        <v>250034</v>
      </c>
      <c r="AE9" s="16">
        <f t="shared" si="11"/>
        <v>9739960</v>
      </c>
      <c r="AF9" s="16"/>
      <c r="AG9" s="16">
        <f>ROUND(AC9*Desire_severe*(1-SUM($BA$5:$BC8)/Population),0)</f>
        <v>10002</v>
      </c>
      <c r="AH9" s="16">
        <f>ROUND(AD9*Desire_mild*(1-SUM($BA$5:$BC8)/Population),0)</f>
        <v>124973</v>
      </c>
      <c r="AI9" s="16">
        <f>ROUND(AE9*Desire_asy*(1-SUM($BA$5:$BC8)/Population),0)</f>
        <v>194731</v>
      </c>
      <c r="AJ9" s="16"/>
      <c r="AK9" s="16">
        <f t="shared" si="35"/>
        <v>2250</v>
      </c>
      <c r="AL9" s="16">
        <f t="shared" si="13"/>
        <v>1688</v>
      </c>
      <c r="AM9" s="16">
        <f t="shared" si="27"/>
        <v>562</v>
      </c>
      <c r="AN9" s="16"/>
      <c r="AO9" s="16">
        <f t="shared" si="36"/>
        <v>1688</v>
      </c>
      <c r="AP9" s="16">
        <f t="shared" si="37"/>
        <v>0</v>
      </c>
      <c r="AQ9" s="16">
        <f t="shared" si="28"/>
        <v>0</v>
      </c>
      <c r="AR9" s="16"/>
      <c r="AS9" s="16">
        <f t="shared" si="38"/>
        <v>8314</v>
      </c>
      <c r="AT9" s="16">
        <f t="shared" si="14"/>
        <v>124973</v>
      </c>
      <c r="AU9" s="16">
        <f t="shared" si="14"/>
        <v>194731</v>
      </c>
      <c r="AV9" s="16"/>
      <c r="AW9" s="16">
        <f t="shared" si="29"/>
        <v>14</v>
      </c>
      <c r="AX9" s="16">
        <f t="shared" si="15"/>
        <v>214</v>
      </c>
      <c r="AY9" s="16">
        <f t="shared" si="30"/>
        <v>334</v>
      </c>
      <c r="AZ9" s="16"/>
      <c r="BA9" s="16">
        <f t="shared" si="31"/>
        <v>1702</v>
      </c>
      <c r="BB9" s="16">
        <f t="shared" si="16"/>
        <v>214</v>
      </c>
      <c r="BC9" s="16">
        <f t="shared" si="16"/>
        <v>334</v>
      </c>
      <c r="BD9" s="16"/>
      <c r="BE9" s="20">
        <f t="shared" si="32"/>
        <v>5.9964021587047766E-4</v>
      </c>
      <c r="BF9" s="20">
        <f t="shared" si="17"/>
        <v>1.3998096258908789E-4</v>
      </c>
      <c r="BG9" s="20">
        <f t="shared" si="17"/>
        <v>1.8480568708701063E-6</v>
      </c>
      <c r="BH9" s="16"/>
      <c r="BI9" s="16">
        <f t="shared" si="18"/>
        <v>10</v>
      </c>
      <c r="BJ9" s="16">
        <f t="shared" si="19"/>
        <v>1</v>
      </c>
      <c r="BK9" s="16">
        <f t="shared" si="20"/>
        <v>2</v>
      </c>
      <c r="BL9" s="16"/>
      <c r="BM9" s="16">
        <f t="shared" si="33"/>
        <v>13</v>
      </c>
      <c r="BN9" s="22">
        <f t="shared" si="39"/>
        <v>1.625</v>
      </c>
      <c r="BO9" s="19">
        <f t="shared" si="40"/>
        <v>5.7777777777777775E-3</v>
      </c>
    </row>
    <row r="10" spans="1:67" s="9" customFormat="1" ht="13" customHeight="1" x14ac:dyDescent="0.15">
      <c r="A10" s="15" t="s">
        <v>60</v>
      </c>
      <c r="B10" s="8">
        <v>11</v>
      </c>
      <c r="D10" s="38">
        <f t="shared" si="34"/>
        <v>5</v>
      </c>
      <c r="E10" s="41">
        <f t="shared" si="21"/>
        <v>43856</v>
      </c>
      <c r="F10" s="16"/>
      <c r="G10" s="17">
        <f t="shared" si="22"/>
        <v>2.6981132075471699</v>
      </c>
      <c r="H10" s="40">
        <f t="shared" si="0"/>
        <v>3.486188609156029</v>
      </c>
      <c r="I10" s="16">
        <f t="shared" si="23"/>
        <v>159</v>
      </c>
      <c r="J10" s="16">
        <f>SUM(I$5:I10)</f>
        <v>252</v>
      </c>
      <c r="K10" s="16"/>
      <c r="L10" s="18" t="str">
        <f t="shared" ca="1" si="24"/>
        <v/>
      </c>
      <c r="M10" s="40">
        <f t="shared" ca="1" si="1"/>
        <v>6.3753447856313583</v>
      </c>
      <c r="N10" s="16">
        <f t="shared" ca="1" si="2"/>
        <v>8</v>
      </c>
      <c r="O10" s="16">
        <f ca="1">SUM(N$5:N10)</f>
        <v>18</v>
      </c>
      <c r="P10" s="16"/>
      <c r="Q10" s="19">
        <f t="shared" ca="1" si="25"/>
        <v>7.1428571428571425E-2</v>
      </c>
      <c r="R10" s="16"/>
      <c r="S10" s="16">
        <f t="shared" ca="1" si="3"/>
        <v>1500</v>
      </c>
      <c r="T10" s="19">
        <f t="shared" ca="1" si="26"/>
        <v>5.3333333333333332E-3</v>
      </c>
      <c r="U10" s="35"/>
      <c r="V10" s="30">
        <f t="shared" si="4"/>
        <v>2.7</v>
      </c>
      <c r="W10" s="16">
        <f t="shared" si="5"/>
        <v>9999748</v>
      </c>
      <c r="X10" s="16"/>
      <c r="Y10" s="16">
        <f t="shared" si="6"/>
        <v>16</v>
      </c>
      <c r="Z10" s="16">
        <f t="shared" si="7"/>
        <v>95</v>
      </c>
      <c r="AA10" s="16">
        <f t="shared" si="8"/>
        <v>48</v>
      </c>
      <c r="AB10" s="16"/>
      <c r="AC10" s="16">
        <f t="shared" si="9"/>
        <v>10016</v>
      </c>
      <c r="AD10" s="16">
        <f t="shared" si="10"/>
        <v>250091</v>
      </c>
      <c r="AE10" s="16">
        <f t="shared" si="11"/>
        <v>9739893</v>
      </c>
      <c r="AF10" s="16"/>
      <c r="AG10" s="16">
        <f>ROUND(AC10*Desire_severe*(1-SUM($BA$5:$BC9)/Population),0)</f>
        <v>10010</v>
      </c>
      <c r="AH10" s="16">
        <f>ROUND(AD10*Desire_mild*(1-SUM($BA$5:$BC9)/Population),0)</f>
        <v>124974</v>
      </c>
      <c r="AI10" s="16">
        <f>ROUND(AE10*Desire_asy*(1-SUM($BA$5:$BC9)/Population),0)</f>
        <v>194686</v>
      </c>
      <c r="AJ10" s="16"/>
      <c r="AK10" s="16">
        <f t="shared" si="35"/>
        <v>3375</v>
      </c>
      <c r="AL10" s="16">
        <f t="shared" si="13"/>
        <v>2531</v>
      </c>
      <c r="AM10" s="16">
        <f t="shared" si="27"/>
        <v>844</v>
      </c>
      <c r="AN10" s="16"/>
      <c r="AO10" s="16">
        <f t="shared" si="36"/>
        <v>2531</v>
      </c>
      <c r="AP10" s="16">
        <f t="shared" si="37"/>
        <v>0</v>
      </c>
      <c r="AQ10" s="16">
        <f t="shared" si="28"/>
        <v>0</v>
      </c>
      <c r="AR10" s="16"/>
      <c r="AS10" s="16">
        <f t="shared" si="38"/>
        <v>7479</v>
      </c>
      <c r="AT10" s="16">
        <f t="shared" si="14"/>
        <v>124974</v>
      </c>
      <c r="AU10" s="16">
        <f t="shared" si="14"/>
        <v>194686</v>
      </c>
      <c r="AV10" s="16"/>
      <c r="AW10" s="16">
        <f t="shared" si="29"/>
        <v>19</v>
      </c>
      <c r="AX10" s="16">
        <f t="shared" si="15"/>
        <v>322</v>
      </c>
      <c r="AY10" s="16">
        <f t="shared" si="30"/>
        <v>503</v>
      </c>
      <c r="AZ10" s="16"/>
      <c r="BA10" s="16">
        <f t="shared" si="31"/>
        <v>2550</v>
      </c>
      <c r="BB10" s="16">
        <f t="shared" si="16"/>
        <v>322</v>
      </c>
      <c r="BC10" s="16">
        <f t="shared" si="16"/>
        <v>503</v>
      </c>
      <c r="BD10" s="16"/>
      <c r="BE10" s="20">
        <f t="shared" si="32"/>
        <v>1.5974440894568689E-3</v>
      </c>
      <c r="BF10" s="20">
        <f t="shared" si="17"/>
        <v>3.7986173033015985E-4</v>
      </c>
      <c r="BG10" s="20">
        <f t="shared" si="17"/>
        <v>4.928185556042556E-6</v>
      </c>
      <c r="BH10" s="16"/>
      <c r="BI10" s="16">
        <f t="shared" si="18"/>
        <v>16</v>
      </c>
      <c r="BJ10" s="16">
        <f t="shared" si="19"/>
        <v>2</v>
      </c>
      <c r="BK10" s="16">
        <f t="shared" si="20"/>
        <v>3</v>
      </c>
      <c r="BL10" s="16"/>
      <c r="BM10" s="16">
        <f t="shared" si="33"/>
        <v>21</v>
      </c>
      <c r="BN10" s="22">
        <f t="shared" si="39"/>
        <v>1.6153846153846154</v>
      </c>
      <c r="BO10" s="19">
        <f t="shared" si="40"/>
        <v>6.2222222222222219E-3</v>
      </c>
    </row>
    <row r="11" spans="1:67" s="9" customFormat="1" ht="13" customHeight="1" x14ac:dyDescent="0.15">
      <c r="A11" s="15" t="s">
        <v>61</v>
      </c>
      <c r="B11" s="8">
        <v>15</v>
      </c>
      <c r="D11" s="38">
        <f t="shared" si="34"/>
        <v>6</v>
      </c>
      <c r="E11" s="41">
        <f t="shared" si="21"/>
        <v>43861</v>
      </c>
      <c r="F11" s="16"/>
      <c r="G11" s="17">
        <f t="shared" si="22"/>
        <v>2.6993006993006992</v>
      </c>
      <c r="H11" s="40">
        <f t="shared" si="0"/>
        <v>3.4887093382797691</v>
      </c>
      <c r="I11" s="16">
        <f t="shared" si="23"/>
        <v>429</v>
      </c>
      <c r="J11" s="16">
        <f>SUM(I$5:I11)</f>
        <v>681</v>
      </c>
      <c r="K11" s="16"/>
      <c r="L11" s="18">
        <f t="shared" ca="1" si="24"/>
        <v>1.6153846153846154</v>
      </c>
      <c r="M11" s="40">
        <f t="shared" ca="1" si="1"/>
        <v>6.7002266928524765</v>
      </c>
      <c r="N11" s="16">
        <f t="shared" ca="1" si="2"/>
        <v>13</v>
      </c>
      <c r="O11" s="16">
        <f ca="1">SUM(N$5:N11)</f>
        <v>31</v>
      </c>
      <c r="P11" s="16"/>
      <c r="Q11" s="19">
        <f t="shared" ca="1" si="25"/>
        <v>4.552129221732746E-2</v>
      </c>
      <c r="R11" s="16"/>
      <c r="S11" s="16">
        <f t="shared" ca="1" si="3"/>
        <v>2250</v>
      </c>
      <c r="T11" s="19">
        <f t="shared" ca="1" si="26"/>
        <v>5.7777777777777775E-3</v>
      </c>
      <c r="U11" s="35"/>
      <c r="V11" s="30">
        <f t="shared" si="4"/>
        <v>2.7</v>
      </c>
      <c r="W11" s="16">
        <f t="shared" si="5"/>
        <v>9999319</v>
      </c>
      <c r="X11" s="16"/>
      <c r="Y11" s="16">
        <f t="shared" si="6"/>
        <v>43</v>
      </c>
      <c r="Z11" s="16">
        <f t="shared" si="7"/>
        <v>257</v>
      </c>
      <c r="AA11" s="16">
        <f t="shared" si="8"/>
        <v>129</v>
      </c>
      <c r="AB11" s="16"/>
      <c r="AC11" s="16">
        <f t="shared" si="9"/>
        <v>10043</v>
      </c>
      <c r="AD11" s="16">
        <f t="shared" si="10"/>
        <v>250246</v>
      </c>
      <c r="AE11" s="16">
        <f t="shared" si="11"/>
        <v>9739711</v>
      </c>
      <c r="AF11" s="16"/>
      <c r="AG11" s="16">
        <f>ROUND(AC11*Desire_severe*(1-SUM($BA$5:$BC10)/Population),0)</f>
        <v>10034</v>
      </c>
      <c r="AH11" s="16">
        <f>ROUND(AD11*Desire_mild*(1-SUM($BA$5:$BC10)/Population),0)</f>
        <v>125009</v>
      </c>
      <c r="AI11" s="16">
        <f>ROUND(AE11*Desire_asy*(1-SUM($BA$5:$BC10)/Population),0)</f>
        <v>194616</v>
      </c>
      <c r="AJ11" s="16"/>
      <c r="AK11" s="16">
        <f t="shared" si="35"/>
        <v>5063</v>
      </c>
      <c r="AL11" s="16">
        <f t="shared" si="13"/>
        <v>3797</v>
      </c>
      <c r="AM11" s="16">
        <f t="shared" si="27"/>
        <v>1266</v>
      </c>
      <c r="AN11" s="16"/>
      <c r="AO11" s="16">
        <f t="shared" si="36"/>
        <v>3797</v>
      </c>
      <c r="AP11" s="16">
        <f t="shared" si="37"/>
        <v>0</v>
      </c>
      <c r="AQ11" s="16">
        <f t="shared" si="28"/>
        <v>0</v>
      </c>
      <c r="AR11" s="16"/>
      <c r="AS11" s="16">
        <f t="shared" si="38"/>
        <v>6237</v>
      </c>
      <c r="AT11" s="16">
        <f t="shared" si="14"/>
        <v>125009</v>
      </c>
      <c r="AU11" s="16">
        <f t="shared" si="14"/>
        <v>194616</v>
      </c>
      <c r="AV11" s="16"/>
      <c r="AW11" s="16">
        <f t="shared" si="29"/>
        <v>24</v>
      </c>
      <c r="AX11" s="16">
        <f t="shared" si="15"/>
        <v>486</v>
      </c>
      <c r="AY11" s="16">
        <f t="shared" si="30"/>
        <v>756</v>
      </c>
      <c r="AZ11" s="16"/>
      <c r="BA11" s="16">
        <f t="shared" si="31"/>
        <v>3821</v>
      </c>
      <c r="BB11" s="16">
        <f t="shared" si="16"/>
        <v>486</v>
      </c>
      <c r="BC11" s="16">
        <f t="shared" si="16"/>
        <v>756</v>
      </c>
      <c r="BD11" s="16"/>
      <c r="BE11" s="20">
        <f t="shared" si="32"/>
        <v>4.2815891665836901E-3</v>
      </c>
      <c r="BF11" s="20">
        <f t="shared" si="17"/>
        <v>1.0269894423886896E-3</v>
      </c>
      <c r="BG11" s="20">
        <f t="shared" si="17"/>
        <v>1.3244746173680102E-5</v>
      </c>
      <c r="BH11" s="16"/>
      <c r="BI11" s="16">
        <f t="shared" si="18"/>
        <v>32</v>
      </c>
      <c r="BJ11" s="16">
        <f t="shared" si="19"/>
        <v>2</v>
      </c>
      <c r="BK11" s="16">
        <f t="shared" si="20"/>
        <v>4</v>
      </c>
      <c r="BL11" s="16"/>
      <c r="BM11" s="16">
        <f t="shared" si="33"/>
        <v>38</v>
      </c>
      <c r="BN11" s="22">
        <f t="shared" si="39"/>
        <v>1.8095238095238095</v>
      </c>
      <c r="BO11" s="19">
        <f t="shared" si="40"/>
        <v>7.5054315623148335E-3</v>
      </c>
    </row>
    <row r="12" spans="1:67" s="9" customFormat="1" ht="13" customHeight="1" x14ac:dyDescent="0.15">
      <c r="A12" s="15"/>
      <c r="B12" s="8"/>
      <c r="D12" s="38">
        <f t="shared" si="34"/>
        <v>7</v>
      </c>
      <c r="E12" s="41">
        <f t="shared" si="21"/>
        <v>43866</v>
      </c>
      <c r="F12" s="16"/>
      <c r="G12" s="17">
        <f t="shared" si="22"/>
        <v>2.6986183074265977</v>
      </c>
      <c r="H12" s="40">
        <f t="shared" si="0"/>
        <v>3.4902024955056548</v>
      </c>
      <c r="I12" s="16">
        <f t="shared" si="23"/>
        <v>1158</v>
      </c>
      <c r="J12" s="16">
        <f>SUM(I$5:I12)</f>
        <v>1839</v>
      </c>
      <c r="K12" s="16"/>
      <c r="L12" s="18">
        <f t="shared" ca="1" si="24"/>
        <v>1.8095238095238095</v>
      </c>
      <c r="M12" s="40">
        <f t="shared" ca="1" si="1"/>
        <v>6.31781081518257</v>
      </c>
      <c r="N12" s="16">
        <f t="shared" ca="1" si="2"/>
        <v>21</v>
      </c>
      <c r="O12" s="16">
        <f ca="1">SUM(N$5:N12)</f>
        <v>52</v>
      </c>
      <c r="P12" s="16"/>
      <c r="Q12" s="19">
        <f t="shared" ca="1" si="25"/>
        <v>2.8276237085372486E-2</v>
      </c>
      <c r="R12" s="16"/>
      <c r="S12" s="16">
        <f t="shared" ca="1" si="3"/>
        <v>3375</v>
      </c>
      <c r="T12" s="19">
        <f t="shared" ca="1" si="26"/>
        <v>6.2222222222222219E-3</v>
      </c>
      <c r="U12" s="35"/>
      <c r="V12" s="30">
        <f t="shared" si="4"/>
        <v>2.7</v>
      </c>
      <c r="W12" s="16">
        <f t="shared" si="5"/>
        <v>9998161</v>
      </c>
      <c r="X12" s="16"/>
      <c r="Y12" s="16">
        <f t="shared" si="6"/>
        <v>116</v>
      </c>
      <c r="Z12" s="16">
        <f t="shared" si="7"/>
        <v>695</v>
      </c>
      <c r="AA12" s="16">
        <f t="shared" si="8"/>
        <v>347</v>
      </c>
      <c r="AB12" s="16"/>
      <c r="AC12" s="16">
        <f t="shared" si="9"/>
        <v>10115</v>
      </c>
      <c r="AD12" s="16">
        <f t="shared" si="10"/>
        <v>250666</v>
      </c>
      <c r="AE12" s="16">
        <f t="shared" si="11"/>
        <v>9739219</v>
      </c>
      <c r="AF12" s="16"/>
      <c r="AG12" s="16">
        <f>ROUND(AC12*Desire_severe*(1-SUM($BA$5:$BC11)/Population),0)</f>
        <v>10101</v>
      </c>
      <c r="AH12" s="16">
        <f>ROUND(AD12*Desire_mild*(1-SUM($BA$5:$BC11)/Population),0)</f>
        <v>125155</v>
      </c>
      <c r="AI12" s="16">
        <f>ROUND(AE12*Desire_asy*(1-SUM($BA$5:$BC11)/Population),0)</f>
        <v>194508</v>
      </c>
      <c r="AJ12" s="16"/>
      <c r="AK12" s="16">
        <f t="shared" si="35"/>
        <v>7595</v>
      </c>
      <c r="AL12" s="16">
        <f t="shared" si="13"/>
        <v>5696</v>
      </c>
      <c r="AM12" s="16">
        <f t="shared" si="27"/>
        <v>1899</v>
      </c>
      <c r="AN12" s="16"/>
      <c r="AO12" s="16">
        <f t="shared" si="36"/>
        <v>5696</v>
      </c>
      <c r="AP12" s="16">
        <f t="shared" si="37"/>
        <v>0</v>
      </c>
      <c r="AQ12" s="16">
        <f t="shared" si="28"/>
        <v>0</v>
      </c>
      <c r="AR12" s="16"/>
      <c r="AS12" s="16">
        <f t="shared" si="38"/>
        <v>4405</v>
      </c>
      <c r="AT12" s="16">
        <f t="shared" si="14"/>
        <v>125155</v>
      </c>
      <c r="AU12" s="16">
        <f t="shared" si="14"/>
        <v>194508</v>
      </c>
      <c r="AV12" s="16"/>
      <c r="AW12" s="16">
        <f t="shared" si="29"/>
        <v>26</v>
      </c>
      <c r="AX12" s="16">
        <f t="shared" si="15"/>
        <v>733</v>
      </c>
      <c r="AY12" s="16">
        <f t="shared" si="30"/>
        <v>1140</v>
      </c>
      <c r="AZ12" s="16"/>
      <c r="BA12" s="16">
        <f t="shared" si="31"/>
        <v>5722</v>
      </c>
      <c r="BB12" s="16">
        <f t="shared" si="16"/>
        <v>733</v>
      </c>
      <c r="BC12" s="16">
        <f t="shared" si="16"/>
        <v>1140</v>
      </c>
      <c r="BD12" s="16"/>
      <c r="BE12" s="20">
        <f t="shared" si="32"/>
        <v>1.1468116658428076E-2</v>
      </c>
      <c r="BF12" s="20">
        <f t="shared" si="17"/>
        <v>2.7726137569514813E-3</v>
      </c>
      <c r="BG12" s="20">
        <f t="shared" si="17"/>
        <v>3.5629140283219835E-5</v>
      </c>
      <c r="BH12" s="16"/>
      <c r="BI12" s="16">
        <f t="shared" si="18"/>
        <v>80</v>
      </c>
      <c r="BJ12" s="16">
        <f t="shared" si="19"/>
        <v>6</v>
      </c>
      <c r="BK12" s="16">
        <f t="shared" si="20"/>
        <v>6</v>
      </c>
      <c r="BL12" s="16"/>
      <c r="BM12" s="16">
        <f t="shared" si="33"/>
        <v>92</v>
      </c>
      <c r="BN12" s="22">
        <f t="shared" si="39"/>
        <v>2.4210526315789473</v>
      </c>
      <c r="BO12" s="19">
        <f t="shared" si="40"/>
        <v>1.2113232389730085E-2</v>
      </c>
    </row>
    <row r="13" spans="1:67" s="9" customFormat="1" ht="13" customHeight="1" x14ac:dyDescent="0.15">
      <c r="A13" s="15" t="s">
        <v>42</v>
      </c>
      <c r="B13" s="23">
        <v>0.3</v>
      </c>
      <c r="D13" s="38">
        <f t="shared" si="34"/>
        <v>8</v>
      </c>
      <c r="E13" s="41">
        <f t="shared" si="21"/>
        <v>43871</v>
      </c>
      <c r="F13" s="16"/>
      <c r="G13" s="17">
        <f t="shared" si="22"/>
        <v>2.6969599999999998</v>
      </c>
      <c r="H13" s="40">
        <f t="shared" si="0"/>
        <v>3.4921165862883559</v>
      </c>
      <c r="I13" s="16">
        <f t="shared" si="23"/>
        <v>3125</v>
      </c>
      <c r="J13" s="16">
        <f>SUM(I$5:I13)</f>
        <v>4964</v>
      </c>
      <c r="K13" s="16"/>
      <c r="L13" s="18">
        <f t="shared" ca="1" si="24"/>
        <v>2.4210526315789473</v>
      </c>
      <c r="M13" s="40">
        <f t="shared" ca="1" si="1"/>
        <v>4.9215430062623922</v>
      </c>
      <c r="N13" s="16">
        <f t="shared" ca="1" si="2"/>
        <v>38</v>
      </c>
      <c r="O13" s="16">
        <f ca="1">SUM(N$5:N13)</f>
        <v>90</v>
      </c>
      <c r="P13" s="16"/>
      <c r="Q13" s="19">
        <f t="shared" ca="1" si="25"/>
        <v>1.8130539887187751E-2</v>
      </c>
      <c r="R13" s="16"/>
      <c r="S13" s="16">
        <f t="shared" ca="1" si="3"/>
        <v>5063</v>
      </c>
      <c r="T13" s="19">
        <f t="shared" ca="1" si="26"/>
        <v>7.5054315623148335E-3</v>
      </c>
      <c r="U13" s="35"/>
      <c r="V13" s="30">
        <f t="shared" si="4"/>
        <v>2.7</v>
      </c>
      <c r="W13" s="16">
        <f t="shared" si="5"/>
        <v>9995036</v>
      </c>
      <c r="X13" s="16"/>
      <c r="Y13" s="16">
        <f t="shared" si="6"/>
        <v>313</v>
      </c>
      <c r="Z13" s="16">
        <f t="shared" si="7"/>
        <v>1875</v>
      </c>
      <c r="AA13" s="16">
        <f t="shared" si="8"/>
        <v>937</v>
      </c>
      <c r="AB13" s="16"/>
      <c r="AC13" s="16">
        <f t="shared" si="9"/>
        <v>10310</v>
      </c>
      <c r="AD13" s="16">
        <f t="shared" si="10"/>
        <v>251797</v>
      </c>
      <c r="AE13" s="16">
        <f t="shared" si="11"/>
        <v>9737893</v>
      </c>
      <c r="AF13" s="16"/>
      <c r="AG13" s="16">
        <f>ROUND(AC13*Desire_severe*(1-SUM($BA$5:$BC12)/Population),0)</f>
        <v>10288</v>
      </c>
      <c r="AH13" s="16">
        <f>ROUND(AD13*Desire_mild*(1-SUM($BA$5:$BC12)/Population),0)</f>
        <v>125624</v>
      </c>
      <c r="AI13" s="16">
        <f>ROUND(AE13*Desire_asy*(1-SUM($BA$5:$BC12)/Population),0)</f>
        <v>194334</v>
      </c>
      <c r="AJ13" s="16"/>
      <c r="AK13" s="16">
        <f t="shared" si="35"/>
        <v>11393</v>
      </c>
      <c r="AL13" s="16">
        <f t="shared" si="13"/>
        <v>8545</v>
      </c>
      <c r="AM13" s="16">
        <f t="shared" si="27"/>
        <v>2848</v>
      </c>
      <c r="AN13" s="16"/>
      <c r="AO13" s="16">
        <f t="shared" si="36"/>
        <v>8545</v>
      </c>
      <c r="AP13" s="16">
        <f t="shared" si="37"/>
        <v>0</v>
      </c>
      <c r="AQ13" s="16">
        <f t="shared" si="28"/>
        <v>0</v>
      </c>
      <c r="AR13" s="16"/>
      <c r="AS13" s="16">
        <f t="shared" si="38"/>
        <v>1743</v>
      </c>
      <c r="AT13" s="16">
        <f t="shared" si="14"/>
        <v>125624</v>
      </c>
      <c r="AU13" s="16">
        <f t="shared" si="14"/>
        <v>194334</v>
      </c>
      <c r="AV13" s="16"/>
      <c r="AW13" s="16">
        <f t="shared" si="29"/>
        <v>15</v>
      </c>
      <c r="AX13" s="16">
        <f t="shared" si="15"/>
        <v>1112</v>
      </c>
      <c r="AY13" s="16">
        <f t="shared" si="30"/>
        <v>1721</v>
      </c>
      <c r="AZ13" s="16"/>
      <c r="BA13" s="16">
        <f t="shared" si="31"/>
        <v>8560</v>
      </c>
      <c r="BB13" s="16">
        <f t="shared" si="16"/>
        <v>1112</v>
      </c>
      <c r="BC13" s="16">
        <f t="shared" si="16"/>
        <v>1721</v>
      </c>
      <c r="BD13" s="16"/>
      <c r="BE13" s="20">
        <f t="shared" si="32"/>
        <v>3.0358874878758487E-2</v>
      </c>
      <c r="BF13" s="20">
        <f t="shared" si="17"/>
        <v>7.4464747395719564E-3</v>
      </c>
      <c r="BG13" s="20">
        <f t="shared" si="17"/>
        <v>9.6222047212882707E-5</v>
      </c>
      <c r="BH13" s="16"/>
      <c r="BI13" s="16">
        <f t="shared" si="18"/>
        <v>250</v>
      </c>
      <c r="BJ13" s="16">
        <f t="shared" si="19"/>
        <v>13</v>
      </c>
      <c r="BK13" s="16">
        <f t="shared" si="20"/>
        <v>9</v>
      </c>
      <c r="BL13" s="16"/>
      <c r="BM13" s="16">
        <f t="shared" si="33"/>
        <v>272</v>
      </c>
      <c r="BN13" s="22">
        <f t="shared" si="39"/>
        <v>2.9565217391304346</v>
      </c>
      <c r="BO13" s="19">
        <f t="shared" si="40"/>
        <v>2.3874308786096726E-2</v>
      </c>
    </row>
    <row r="14" spans="1:67" s="9" customFormat="1" ht="13" customHeight="1" x14ac:dyDescent="0.15">
      <c r="A14" s="15" t="s">
        <v>2</v>
      </c>
      <c r="B14" s="23">
        <v>0.6</v>
      </c>
      <c r="D14" s="38">
        <f t="shared" si="34"/>
        <v>9</v>
      </c>
      <c r="E14" s="41">
        <f t="shared" si="21"/>
        <v>43876</v>
      </c>
      <c r="F14" s="16"/>
      <c r="G14" s="17">
        <f t="shared" si="22"/>
        <v>2.6915045087802563</v>
      </c>
      <c r="H14" s="40">
        <f t="shared" si="0"/>
        <v>3.4973155763405481</v>
      </c>
      <c r="I14" s="16">
        <f t="shared" si="23"/>
        <v>8428</v>
      </c>
      <c r="J14" s="16">
        <f>SUM(I$5:I14)</f>
        <v>13392</v>
      </c>
      <c r="K14" s="16"/>
      <c r="L14" s="18">
        <f t="shared" ca="1" si="24"/>
        <v>2.9565217391304346</v>
      </c>
      <c r="M14" s="40">
        <f t="shared" ca="1" si="1"/>
        <v>3.7914581337713105</v>
      </c>
      <c r="N14" s="16">
        <f t="shared" ca="1" si="2"/>
        <v>92</v>
      </c>
      <c r="O14" s="16">
        <f ca="1">SUM(N$5:N14)</f>
        <v>182</v>
      </c>
      <c r="P14" s="16"/>
      <c r="Q14" s="19">
        <f t="shared" ca="1" si="25"/>
        <v>1.3590203106332138E-2</v>
      </c>
      <c r="R14" s="16"/>
      <c r="S14" s="16">
        <f t="shared" ca="1" si="3"/>
        <v>7595</v>
      </c>
      <c r="T14" s="19">
        <f t="shared" ca="1" si="26"/>
        <v>1.2113232389730085E-2</v>
      </c>
      <c r="U14" s="35"/>
      <c r="V14" s="30">
        <f t="shared" si="4"/>
        <v>2.7</v>
      </c>
      <c r="W14" s="16">
        <f t="shared" si="5"/>
        <v>9986608</v>
      </c>
      <c r="X14" s="16"/>
      <c r="Y14" s="16">
        <f t="shared" si="6"/>
        <v>843</v>
      </c>
      <c r="Z14" s="16">
        <f t="shared" si="7"/>
        <v>5057</v>
      </c>
      <c r="AA14" s="16">
        <f t="shared" si="8"/>
        <v>2528</v>
      </c>
      <c r="AB14" s="16"/>
      <c r="AC14" s="16">
        <f t="shared" si="9"/>
        <v>10835</v>
      </c>
      <c r="AD14" s="16">
        <f t="shared" si="10"/>
        <v>254846</v>
      </c>
      <c r="AE14" s="16">
        <f t="shared" si="11"/>
        <v>9734319</v>
      </c>
      <c r="AF14" s="16"/>
      <c r="AG14" s="16">
        <f>ROUND(AC14*Desire_severe*(1-SUM($BA$5:$BC13)/Population),0)</f>
        <v>10799</v>
      </c>
      <c r="AH14" s="16">
        <f>ROUND(AD14*Desire_mild*(1-SUM($BA$5:$BC13)/Population),0)</f>
        <v>127000</v>
      </c>
      <c r="AI14" s="16">
        <f>ROUND(AE14*Desire_asy*(1-SUM($BA$5:$BC13)/Population),0)</f>
        <v>194040</v>
      </c>
      <c r="AJ14" s="16"/>
      <c r="AK14" s="16">
        <f t="shared" si="35"/>
        <v>17090</v>
      </c>
      <c r="AL14" s="16">
        <f t="shared" si="13"/>
        <v>12818</v>
      </c>
      <c r="AM14" s="16">
        <f t="shared" si="27"/>
        <v>4272</v>
      </c>
      <c r="AN14" s="16"/>
      <c r="AO14" s="16">
        <f t="shared" si="36"/>
        <v>10799</v>
      </c>
      <c r="AP14" s="16">
        <f t="shared" si="37"/>
        <v>2019</v>
      </c>
      <c r="AQ14" s="16">
        <f t="shared" si="28"/>
        <v>0</v>
      </c>
      <c r="AR14" s="16"/>
      <c r="AS14" s="16">
        <f t="shared" si="38"/>
        <v>0</v>
      </c>
      <c r="AT14" s="16">
        <f t="shared" si="14"/>
        <v>124981</v>
      </c>
      <c r="AU14" s="16">
        <f t="shared" si="14"/>
        <v>194040</v>
      </c>
      <c r="AV14" s="16"/>
      <c r="AW14" s="16">
        <f t="shared" si="29"/>
        <v>0</v>
      </c>
      <c r="AX14" s="16">
        <f t="shared" si="15"/>
        <v>1674</v>
      </c>
      <c r="AY14" s="16">
        <f t="shared" si="30"/>
        <v>2598</v>
      </c>
      <c r="AZ14" s="16"/>
      <c r="BA14" s="16">
        <f t="shared" si="31"/>
        <v>10799</v>
      </c>
      <c r="BB14" s="16">
        <f t="shared" si="16"/>
        <v>3693</v>
      </c>
      <c r="BC14" s="16">
        <f t="shared" si="16"/>
        <v>2598</v>
      </c>
      <c r="BD14" s="16"/>
      <c r="BE14" s="20">
        <f t="shared" si="32"/>
        <v>7.7803414859252421E-2</v>
      </c>
      <c r="BF14" s="20">
        <f t="shared" si="17"/>
        <v>1.9843356379931409E-2</v>
      </c>
      <c r="BG14" s="20">
        <f t="shared" si="17"/>
        <v>2.596997283528514E-4</v>
      </c>
      <c r="BH14" s="16"/>
      <c r="BI14" s="16">
        <f t="shared" si="18"/>
        <v>722</v>
      </c>
      <c r="BJ14" s="16">
        <f t="shared" si="19"/>
        <v>77</v>
      </c>
      <c r="BK14" s="16">
        <f t="shared" si="20"/>
        <v>14</v>
      </c>
      <c r="BL14" s="16"/>
      <c r="BM14" s="16">
        <f t="shared" si="33"/>
        <v>813</v>
      </c>
      <c r="BN14" s="22">
        <f t="shared" si="39"/>
        <v>2.9889705882352939</v>
      </c>
      <c r="BO14" s="19">
        <f t="shared" si="40"/>
        <v>4.7571679344645991E-2</v>
      </c>
    </row>
    <row r="15" spans="1:67" s="9" customFormat="1" ht="13" customHeight="1" x14ac:dyDescent="0.15">
      <c r="A15" s="15"/>
      <c r="B15" s="8"/>
      <c r="D15" s="38">
        <f t="shared" si="34"/>
        <v>10</v>
      </c>
      <c r="E15" s="41">
        <f t="shared" si="21"/>
        <v>43881</v>
      </c>
      <c r="F15" s="16"/>
      <c r="G15" s="17">
        <f t="shared" si="22"/>
        <v>2.6772174219714335</v>
      </c>
      <c r="H15" s="40">
        <f t="shared" si="0"/>
        <v>3.5110952097812742</v>
      </c>
      <c r="I15" s="16">
        <f t="shared" si="23"/>
        <v>22684</v>
      </c>
      <c r="J15" s="16">
        <f>SUM(I$5:I15)</f>
        <v>36076</v>
      </c>
      <c r="K15" s="16"/>
      <c r="L15" s="18">
        <f t="shared" ca="1" si="24"/>
        <v>2.9889705882352939</v>
      </c>
      <c r="M15" s="40">
        <f t="shared" ca="1" si="1"/>
        <v>3.3768899870788776</v>
      </c>
      <c r="N15" s="16">
        <f t="shared" ca="1" si="2"/>
        <v>272</v>
      </c>
      <c r="O15" s="16">
        <f ca="1">SUM(N$5:N15)</f>
        <v>454</v>
      </c>
      <c r="P15" s="16"/>
      <c r="Q15" s="19">
        <f t="shared" ca="1" si="25"/>
        <v>1.2584543740991241E-2</v>
      </c>
      <c r="R15" s="16"/>
      <c r="S15" s="16">
        <f t="shared" ca="1" si="3"/>
        <v>11393</v>
      </c>
      <c r="T15" s="19">
        <f t="shared" ca="1" si="26"/>
        <v>2.3874308786096726E-2</v>
      </c>
      <c r="U15" s="35"/>
      <c r="V15" s="30">
        <f t="shared" si="4"/>
        <v>2.7</v>
      </c>
      <c r="W15" s="16">
        <f t="shared" si="5"/>
        <v>9963924</v>
      </c>
      <c r="X15" s="16"/>
      <c r="Y15" s="16">
        <f t="shared" si="6"/>
        <v>2268</v>
      </c>
      <c r="Z15" s="16">
        <f t="shared" si="7"/>
        <v>13610</v>
      </c>
      <c r="AA15" s="16">
        <f t="shared" si="8"/>
        <v>6806</v>
      </c>
      <c r="AB15" s="16"/>
      <c r="AC15" s="16">
        <f t="shared" si="9"/>
        <v>12245</v>
      </c>
      <c r="AD15" s="16">
        <f t="shared" si="10"/>
        <v>263043</v>
      </c>
      <c r="AE15" s="16">
        <f t="shared" si="11"/>
        <v>9724712</v>
      </c>
      <c r="AF15" s="16"/>
      <c r="AG15" s="16">
        <f>ROUND(AC15*Desire_severe*(1-SUM($BA$5:$BC14)/Population),0)</f>
        <v>12183</v>
      </c>
      <c r="AH15" s="16">
        <f>ROUND(AD15*Desire_mild*(1-SUM($BA$5:$BC14)/Population),0)</f>
        <v>130860</v>
      </c>
      <c r="AI15" s="16">
        <f>ROUND(AE15*Desire_asy*(1-SUM($BA$5:$BC14)/Population),0)</f>
        <v>193517</v>
      </c>
      <c r="AJ15" s="16"/>
      <c r="AK15" s="16">
        <f t="shared" si="35"/>
        <v>25635</v>
      </c>
      <c r="AL15" s="16">
        <f t="shared" si="13"/>
        <v>19226</v>
      </c>
      <c r="AM15" s="16">
        <f t="shared" si="27"/>
        <v>6409</v>
      </c>
      <c r="AN15" s="16"/>
      <c r="AO15" s="16">
        <f t="shared" si="36"/>
        <v>12183</v>
      </c>
      <c r="AP15" s="16">
        <f t="shared" si="37"/>
        <v>7043</v>
      </c>
      <c r="AQ15" s="16">
        <f t="shared" si="28"/>
        <v>0</v>
      </c>
      <c r="AR15" s="16"/>
      <c r="AS15" s="16">
        <f t="shared" si="38"/>
        <v>0</v>
      </c>
      <c r="AT15" s="16">
        <f t="shared" si="14"/>
        <v>123817</v>
      </c>
      <c r="AU15" s="16">
        <f t="shared" si="14"/>
        <v>193517</v>
      </c>
      <c r="AV15" s="16"/>
      <c r="AW15" s="16">
        <f t="shared" si="29"/>
        <v>0</v>
      </c>
      <c r="AX15" s="16">
        <f t="shared" si="15"/>
        <v>2501</v>
      </c>
      <c r="AY15" s="16">
        <f t="shared" si="30"/>
        <v>3908</v>
      </c>
      <c r="AZ15" s="16"/>
      <c r="BA15" s="16">
        <f t="shared" si="31"/>
        <v>12183</v>
      </c>
      <c r="BB15" s="16">
        <f t="shared" si="16"/>
        <v>9544</v>
      </c>
      <c r="BC15" s="16">
        <f t="shared" si="16"/>
        <v>3908</v>
      </c>
      <c r="BD15" s="16"/>
      <c r="BE15" s="20">
        <f t="shared" si="32"/>
        <v>0.18521845651286239</v>
      </c>
      <c r="BF15" s="20">
        <f t="shared" si="17"/>
        <v>5.1740589941568486E-2</v>
      </c>
      <c r="BG15" s="20">
        <f t="shared" si="17"/>
        <v>6.9986648447789503E-4</v>
      </c>
      <c r="BH15" s="16"/>
      <c r="BI15" s="16">
        <f t="shared" si="18"/>
        <v>1855</v>
      </c>
      <c r="BJ15" s="16">
        <f t="shared" si="19"/>
        <v>440</v>
      </c>
      <c r="BK15" s="16">
        <f t="shared" si="20"/>
        <v>22</v>
      </c>
      <c r="BL15" s="16"/>
      <c r="BM15" s="16">
        <f t="shared" si="33"/>
        <v>2317</v>
      </c>
      <c r="BN15" s="22">
        <f t="shared" si="39"/>
        <v>2.8499384993849937</v>
      </c>
      <c r="BO15" s="19">
        <f t="shared" si="40"/>
        <v>9.0384240296469673E-2</v>
      </c>
    </row>
    <row r="16" spans="1:67" s="9" customFormat="1" ht="13" customHeight="1" x14ac:dyDescent="0.15">
      <c r="A16" s="15" t="s">
        <v>55</v>
      </c>
      <c r="B16" s="24">
        <v>43831</v>
      </c>
      <c r="D16" s="38">
        <f t="shared" si="34"/>
        <v>11</v>
      </c>
      <c r="E16" s="41">
        <f t="shared" si="21"/>
        <v>43886</v>
      </c>
      <c r="F16" s="16"/>
      <c r="G16" s="17">
        <f t="shared" si="22"/>
        <v>1.3739008727152973</v>
      </c>
      <c r="H16" s="40">
        <f t="shared" si="0"/>
        <v>5.5755354353773878</v>
      </c>
      <c r="I16" s="16">
        <f t="shared" si="23"/>
        <v>60730</v>
      </c>
      <c r="J16" s="16">
        <f>SUM(I$5:I16)</f>
        <v>96806</v>
      </c>
      <c r="K16" s="16"/>
      <c r="L16" s="18">
        <f t="shared" ca="1" si="24"/>
        <v>2.8499384993849937</v>
      </c>
      <c r="M16" s="40">
        <f t="shared" ca="1" si="1"/>
        <v>3.3329908953676428</v>
      </c>
      <c r="N16" s="16">
        <f t="shared" ca="1" si="2"/>
        <v>813</v>
      </c>
      <c r="O16" s="16">
        <f ca="1">SUM(N$5:N16)</f>
        <v>1267</v>
      </c>
      <c r="P16" s="16"/>
      <c r="Q16" s="19">
        <f t="shared" ca="1" si="25"/>
        <v>1.3088031733570234E-2</v>
      </c>
      <c r="R16" s="16"/>
      <c r="S16" s="16">
        <f t="shared" ca="1" si="3"/>
        <v>17090</v>
      </c>
      <c r="T16" s="19">
        <f t="shared" ca="1" si="26"/>
        <v>4.7571679344645991E-2</v>
      </c>
      <c r="U16" s="35"/>
      <c r="V16" s="30">
        <f t="shared" si="4"/>
        <v>1.4</v>
      </c>
      <c r="W16" s="16">
        <f t="shared" si="5"/>
        <v>9903194</v>
      </c>
      <c r="X16" s="16"/>
      <c r="Y16" s="16">
        <f t="shared" si="6"/>
        <v>6073</v>
      </c>
      <c r="Z16" s="16">
        <f t="shared" si="7"/>
        <v>36438</v>
      </c>
      <c r="AA16" s="16">
        <f t="shared" si="8"/>
        <v>18219</v>
      </c>
      <c r="AB16" s="16"/>
      <c r="AC16" s="16">
        <f t="shared" si="9"/>
        <v>16012</v>
      </c>
      <c r="AD16" s="16">
        <f t="shared" si="10"/>
        <v>284920</v>
      </c>
      <c r="AE16" s="16">
        <f t="shared" si="11"/>
        <v>9699068</v>
      </c>
      <c r="AF16" s="16"/>
      <c r="AG16" s="16">
        <f>ROUND(AC16*Desire_severe*(1-SUM($BA$5:$BC15)/Population),0)</f>
        <v>15890</v>
      </c>
      <c r="AH16" s="16">
        <f>ROUND(AD16*Desire_mild*(1-SUM($BA$5:$BC15)/Population),0)</f>
        <v>141379</v>
      </c>
      <c r="AI16" s="16">
        <f>ROUND(AE16*Desire_asy*(1-SUM($BA$5:$BC15)/Population),0)</f>
        <v>192509</v>
      </c>
      <c r="AJ16" s="16"/>
      <c r="AK16" s="16">
        <f t="shared" si="35"/>
        <v>38453</v>
      </c>
      <c r="AL16" s="16">
        <f t="shared" si="13"/>
        <v>28840</v>
      </c>
      <c r="AM16" s="16">
        <f t="shared" si="27"/>
        <v>9613</v>
      </c>
      <c r="AN16" s="16"/>
      <c r="AO16" s="16">
        <f t="shared" si="36"/>
        <v>15890</v>
      </c>
      <c r="AP16" s="16">
        <f t="shared" si="37"/>
        <v>12950</v>
      </c>
      <c r="AQ16" s="16">
        <f t="shared" si="28"/>
        <v>0</v>
      </c>
      <c r="AR16" s="16"/>
      <c r="AS16" s="16">
        <f t="shared" si="38"/>
        <v>0</v>
      </c>
      <c r="AT16" s="16">
        <f t="shared" si="14"/>
        <v>128429</v>
      </c>
      <c r="AU16" s="16">
        <f t="shared" si="14"/>
        <v>192509</v>
      </c>
      <c r="AV16" s="16"/>
      <c r="AW16" s="16">
        <f t="shared" si="29"/>
        <v>0</v>
      </c>
      <c r="AX16" s="16">
        <f t="shared" si="15"/>
        <v>3847</v>
      </c>
      <c r="AY16" s="16">
        <f t="shared" si="30"/>
        <v>5766</v>
      </c>
      <c r="AZ16" s="16"/>
      <c r="BA16" s="16">
        <f t="shared" si="31"/>
        <v>15890</v>
      </c>
      <c r="BB16" s="16">
        <f t="shared" si="16"/>
        <v>16797</v>
      </c>
      <c r="BC16" s="16">
        <f t="shared" si="16"/>
        <v>5766</v>
      </c>
      <c r="BD16" s="16"/>
      <c r="BE16" s="20">
        <f t="shared" si="32"/>
        <v>0.37927804146889832</v>
      </c>
      <c r="BF16" s="20">
        <f t="shared" si="17"/>
        <v>0.12788853011371612</v>
      </c>
      <c r="BG16" s="20">
        <f t="shared" si="17"/>
        <v>1.8784279066813431E-3</v>
      </c>
      <c r="BH16" s="16"/>
      <c r="BI16" s="16">
        <f t="shared" si="18"/>
        <v>4870</v>
      </c>
      <c r="BJ16" s="16">
        <f t="shared" si="19"/>
        <v>1792</v>
      </c>
      <c r="BK16" s="16">
        <f t="shared" si="20"/>
        <v>38</v>
      </c>
      <c r="BL16" s="16"/>
      <c r="BM16" s="16">
        <f t="shared" si="33"/>
        <v>6700</v>
      </c>
      <c r="BN16" s="22">
        <f t="shared" si="39"/>
        <v>2.8916702632714717</v>
      </c>
      <c r="BO16" s="19">
        <f t="shared" si="40"/>
        <v>0.17423868098717915</v>
      </c>
    </row>
    <row r="17" spans="1:67" s="9" customFormat="1" ht="13" customHeight="1" x14ac:dyDescent="0.15">
      <c r="A17" s="15" t="s">
        <v>59</v>
      </c>
      <c r="B17" s="8">
        <v>5</v>
      </c>
      <c r="D17" s="38">
        <f t="shared" si="34"/>
        <v>12</v>
      </c>
      <c r="E17" s="41">
        <f t="shared" si="21"/>
        <v>43891</v>
      </c>
      <c r="F17" s="16"/>
      <c r="G17" s="17">
        <f t="shared" si="22"/>
        <v>1.3544710380286924</v>
      </c>
      <c r="H17" s="40">
        <f t="shared" si="0"/>
        <v>7.1203021148272816</v>
      </c>
      <c r="I17" s="16">
        <f t="shared" si="23"/>
        <v>83437</v>
      </c>
      <c r="J17" s="16">
        <f>SUM(I$5:I17)</f>
        <v>180243</v>
      </c>
      <c r="K17" s="16"/>
      <c r="L17" s="18">
        <f t="shared" ca="1" si="24"/>
        <v>2.8916702632714717</v>
      </c>
      <c r="M17" s="40">
        <f t="shared" ca="1" si="1"/>
        <v>3.2878319901495026</v>
      </c>
      <c r="N17" s="16">
        <f t="shared" ca="1" si="2"/>
        <v>2317</v>
      </c>
      <c r="O17" s="16">
        <f ca="1">SUM(N$5:N17)</f>
        <v>3584</v>
      </c>
      <c r="P17" s="16"/>
      <c r="Q17" s="19">
        <f t="shared" ca="1" si="25"/>
        <v>1.9884267350188358E-2</v>
      </c>
      <c r="R17" s="16"/>
      <c r="S17" s="16">
        <f t="shared" ca="1" si="3"/>
        <v>25635</v>
      </c>
      <c r="T17" s="19">
        <f t="shared" ca="1" si="26"/>
        <v>9.0384240296469673E-2</v>
      </c>
      <c r="U17" s="35"/>
      <c r="V17" s="30">
        <f t="shared" si="4"/>
        <v>1.4</v>
      </c>
      <c r="W17" s="16">
        <f t="shared" si="5"/>
        <v>9819757</v>
      </c>
      <c r="X17" s="16"/>
      <c r="Y17" s="16">
        <f t="shared" si="6"/>
        <v>8344</v>
      </c>
      <c r="Z17" s="16">
        <f t="shared" si="7"/>
        <v>50062</v>
      </c>
      <c r="AA17" s="16">
        <f t="shared" si="8"/>
        <v>25031</v>
      </c>
      <c r="AB17" s="16"/>
      <c r="AC17" s="16">
        <f t="shared" si="9"/>
        <v>18261</v>
      </c>
      <c r="AD17" s="16">
        <f t="shared" si="10"/>
        <v>297976</v>
      </c>
      <c r="AE17" s="16">
        <f t="shared" si="11"/>
        <v>9683763</v>
      </c>
      <c r="AF17" s="16"/>
      <c r="AG17" s="16">
        <f>ROUND(AC17*Desire_severe*(1-SUM($BA$5:$BC16)/Population),0)</f>
        <v>18052</v>
      </c>
      <c r="AH17" s="16">
        <f>ROUND(AD17*Desire_mild*(1-SUM($BA$5:$BC16)/Population),0)</f>
        <v>147284</v>
      </c>
      <c r="AI17" s="16">
        <f>ROUND(AE17*Desire_asy*(1-SUM($BA$5:$BC16)/Population),0)</f>
        <v>191461</v>
      </c>
      <c r="AJ17" s="16"/>
      <c r="AK17" s="16">
        <f t="shared" si="35"/>
        <v>57680</v>
      </c>
      <c r="AL17" s="16">
        <f t="shared" si="13"/>
        <v>43260</v>
      </c>
      <c r="AM17" s="16">
        <f t="shared" si="27"/>
        <v>14420</v>
      </c>
      <c r="AN17" s="16"/>
      <c r="AO17" s="16">
        <f t="shared" si="36"/>
        <v>18052</v>
      </c>
      <c r="AP17" s="16">
        <f t="shared" si="37"/>
        <v>25208</v>
      </c>
      <c r="AQ17" s="16">
        <f t="shared" si="28"/>
        <v>0</v>
      </c>
      <c r="AR17" s="16"/>
      <c r="AS17" s="16">
        <f t="shared" si="38"/>
        <v>0</v>
      </c>
      <c r="AT17" s="16">
        <f t="shared" si="14"/>
        <v>122076</v>
      </c>
      <c r="AU17" s="16">
        <f t="shared" si="14"/>
        <v>191461</v>
      </c>
      <c r="AV17" s="16"/>
      <c r="AW17" s="16">
        <f t="shared" si="29"/>
        <v>0</v>
      </c>
      <c r="AX17" s="16">
        <f t="shared" si="15"/>
        <v>5614</v>
      </c>
      <c r="AY17" s="16">
        <f t="shared" si="30"/>
        <v>8806</v>
      </c>
      <c r="AZ17" s="16"/>
      <c r="BA17" s="16">
        <f t="shared" si="31"/>
        <v>18052</v>
      </c>
      <c r="BB17" s="16">
        <f t="shared" si="16"/>
        <v>30822</v>
      </c>
      <c r="BC17" s="16">
        <f t="shared" si="16"/>
        <v>8806</v>
      </c>
      <c r="BD17" s="16"/>
      <c r="BE17" s="20">
        <f t="shared" si="32"/>
        <v>0.45693006954712229</v>
      </c>
      <c r="BF17" s="20">
        <f t="shared" si="17"/>
        <v>0.16800681934115499</v>
      </c>
      <c r="BG17" s="20">
        <f t="shared" si="17"/>
        <v>2.584842276705863E-3</v>
      </c>
      <c r="BH17" s="16"/>
      <c r="BI17" s="16">
        <f t="shared" si="18"/>
        <v>6648</v>
      </c>
      <c r="BJ17" s="16">
        <f t="shared" si="19"/>
        <v>4271</v>
      </c>
      <c r="BK17" s="16">
        <f t="shared" si="20"/>
        <v>62</v>
      </c>
      <c r="BL17" s="16"/>
      <c r="BM17" s="16">
        <f t="shared" si="33"/>
        <v>10981</v>
      </c>
      <c r="BN17" s="22">
        <f t="shared" si="39"/>
        <v>1.6389552238805971</v>
      </c>
      <c r="BO17" s="19">
        <f t="shared" si="40"/>
        <v>0.19037794729542301</v>
      </c>
    </row>
    <row r="18" spans="1:67" s="9" customFormat="1" ht="13" customHeight="1" x14ac:dyDescent="0.15">
      <c r="B18" s="8"/>
      <c r="D18" s="38">
        <f t="shared" si="34"/>
        <v>13</v>
      </c>
      <c r="E18" s="41">
        <f t="shared" si="21"/>
        <v>43896</v>
      </c>
      <c r="F18" s="16"/>
      <c r="G18" s="17">
        <f t="shared" si="22"/>
        <v>1.3284931822002779</v>
      </c>
      <c r="H18" s="40">
        <f t="shared" si="0"/>
        <v>8.3832785590259675</v>
      </c>
      <c r="I18" s="16">
        <f t="shared" si="23"/>
        <v>113013</v>
      </c>
      <c r="J18" s="16">
        <f>SUM(I$5:I18)</f>
        <v>293256</v>
      </c>
      <c r="K18" s="16"/>
      <c r="L18" s="18">
        <f t="shared" ca="1" si="24"/>
        <v>1.6389552238805971</v>
      </c>
      <c r="M18" s="40">
        <f t="shared" ca="1" si="1"/>
        <v>4.7706312019556938</v>
      </c>
      <c r="N18" s="16">
        <f t="shared" ca="1" si="2"/>
        <v>6700</v>
      </c>
      <c r="O18" s="16">
        <f ca="1">SUM(N$5:N18)</f>
        <v>10284</v>
      </c>
      <c r="P18" s="16"/>
      <c r="Q18" s="19">
        <f t="shared" ca="1" si="25"/>
        <v>3.5068336197724856E-2</v>
      </c>
      <c r="R18" s="16"/>
      <c r="S18" s="16">
        <f t="shared" ca="1" si="3"/>
        <v>38453</v>
      </c>
      <c r="T18" s="19">
        <f t="shared" ca="1" si="26"/>
        <v>0.17423868098717915</v>
      </c>
      <c r="U18" s="35"/>
      <c r="V18" s="30">
        <f t="shared" si="4"/>
        <v>1.4</v>
      </c>
      <c r="W18" s="16">
        <f t="shared" si="5"/>
        <v>9706744</v>
      </c>
      <c r="X18" s="16"/>
      <c r="Y18" s="16">
        <f t="shared" si="6"/>
        <v>11301</v>
      </c>
      <c r="Z18" s="16">
        <f t="shared" si="7"/>
        <v>67808</v>
      </c>
      <c r="AA18" s="16">
        <f t="shared" si="8"/>
        <v>33904</v>
      </c>
      <c r="AB18" s="16"/>
      <c r="AC18" s="16">
        <f t="shared" si="9"/>
        <v>21188</v>
      </c>
      <c r="AD18" s="16">
        <f t="shared" si="10"/>
        <v>314983</v>
      </c>
      <c r="AE18" s="16">
        <f t="shared" si="11"/>
        <v>9663829</v>
      </c>
      <c r="AF18" s="16"/>
      <c r="AG18" s="16">
        <f>ROUND(AC18*Desire_severe*(1-SUM($BA$5:$BC17)/Population),0)</f>
        <v>20823</v>
      </c>
      <c r="AH18" s="16">
        <f>ROUND(AD18*Desire_mild*(1-SUM($BA$5:$BC17)/Population),0)</f>
        <v>154782</v>
      </c>
      <c r="AI18" s="16">
        <f>ROUND(AE18*Desire_asy*(1-SUM($BA$5:$BC17)/Population),0)</f>
        <v>189952</v>
      </c>
      <c r="AJ18" s="16"/>
      <c r="AK18" s="16">
        <f t="shared" si="35"/>
        <v>86520</v>
      </c>
      <c r="AL18" s="16">
        <f t="shared" si="13"/>
        <v>64890</v>
      </c>
      <c r="AM18" s="16">
        <f t="shared" si="27"/>
        <v>21630</v>
      </c>
      <c r="AN18" s="16"/>
      <c r="AO18" s="16">
        <f t="shared" si="36"/>
        <v>20823</v>
      </c>
      <c r="AP18" s="16">
        <f t="shared" si="37"/>
        <v>44067</v>
      </c>
      <c r="AQ18" s="16">
        <f t="shared" si="28"/>
        <v>0</v>
      </c>
      <c r="AR18" s="16"/>
      <c r="AS18" s="16">
        <f t="shared" si="38"/>
        <v>0</v>
      </c>
      <c r="AT18" s="16">
        <f t="shared" si="14"/>
        <v>110715</v>
      </c>
      <c r="AU18" s="16">
        <f t="shared" si="14"/>
        <v>189952</v>
      </c>
      <c r="AV18" s="16"/>
      <c r="AW18" s="16">
        <f t="shared" si="29"/>
        <v>0</v>
      </c>
      <c r="AX18" s="16">
        <f t="shared" si="15"/>
        <v>7965</v>
      </c>
      <c r="AY18" s="16">
        <f t="shared" si="30"/>
        <v>13665</v>
      </c>
      <c r="AZ18" s="16"/>
      <c r="BA18" s="16">
        <f t="shared" si="31"/>
        <v>20823</v>
      </c>
      <c r="BB18" s="16">
        <f t="shared" si="16"/>
        <v>52032</v>
      </c>
      <c r="BC18" s="16">
        <f t="shared" si="16"/>
        <v>13665</v>
      </c>
      <c r="BD18" s="16"/>
      <c r="BE18" s="20">
        <f t="shared" si="32"/>
        <v>0.53336794411931276</v>
      </c>
      <c r="BF18" s="20">
        <f t="shared" si="17"/>
        <v>0.2152751100853062</v>
      </c>
      <c r="BG18" s="20">
        <f t="shared" si="17"/>
        <v>3.5083402241492478E-3</v>
      </c>
      <c r="BH18" s="16"/>
      <c r="BI18" s="16">
        <f t="shared" si="18"/>
        <v>8934</v>
      </c>
      <c r="BJ18" s="16">
        <f t="shared" si="19"/>
        <v>9165</v>
      </c>
      <c r="BK18" s="16">
        <f t="shared" si="20"/>
        <v>106</v>
      </c>
      <c r="BL18" s="16"/>
      <c r="BM18" s="16">
        <f t="shared" si="33"/>
        <v>18205</v>
      </c>
      <c r="BN18" s="22">
        <f t="shared" si="39"/>
        <v>1.6578635825516801</v>
      </c>
      <c r="BO18" s="19">
        <f t="shared" si="40"/>
        <v>0.21041377716134999</v>
      </c>
    </row>
    <row r="19" spans="1:67" s="9" customFormat="1" ht="13" customHeight="1" x14ac:dyDescent="0.15">
      <c r="A19" s="7" t="s">
        <v>6</v>
      </c>
      <c r="B19" s="25"/>
      <c r="D19" s="38">
        <f t="shared" si="34"/>
        <v>14</v>
      </c>
      <c r="E19" s="41">
        <f t="shared" si="21"/>
        <v>43901</v>
      </c>
      <c r="F19" s="16"/>
      <c r="G19" s="17">
        <f t="shared" si="22"/>
        <v>1.2945842796912153</v>
      </c>
      <c r="H19" s="40">
        <f t="shared" si="0"/>
        <v>9.5342863975350163</v>
      </c>
      <c r="I19" s="16">
        <f t="shared" si="23"/>
        <v>150137</v>
      </c>
      <c r="J19" s="16">
        <f>SUM(I$5:I19)</f>
        <v>443393</v>
      </c>
      <c r="K19" s="16"/>
      <c r="L19" s="18">
        <f t="shared" ca="1" si="24"/>
        <v>1.6578635825516801</v>
      </c>
      <c r="M19" s="40">
        <f t="shared" ca="1" si="1"/>
        <v>5.6036494104157502</v>
      </c>
      <c r="N19" s="16">
        <f t="shared" ca="1" si="2"/>
        <v>10981</v>
      </c>
      <c r="O19" s="16">
        <f ca="1">SUM(N$5:N19)</f>
        <v>21265</v>
      </c>
      <c r="P19" s="16"/>
      <c r="Q19" s="19">
        <f t="shared" ca="1" si="25"/>
        <v>4.7959710685554352E-2</v>
      </c>
      <c r="R19" s="16"/>
      <c r="S19" s="16">
        <f t="shared" ca="1" si="3"/>
        <v>57680</v>
      </c>
      <c r="T19" s="19">
        <f t="shared" ca="1" si="26"/>
        <v>0.19037794729542301</v>
      </c>
      <c r="U19" s="35"/>
      <c r="V19" s="30">
        <f t="shared" si="4"/>
        <v>1.4</v>
      </c>
      <c r="W19" s="16">
        <f t="shared" si="5"/>
        <v>9556607</v>
      </c>
      <c r="X19" s="16"/>
      <c r="Y19" s="16">
        <f t="shared" si="6"/>
        <v>15014</v>
      </c>
      <c r="Z19" s="16">
        <f t="shared" si="7"/>
        <v>90082</v>
      </c>
      <c r="AA19" s="16">
        <f t="shared" si="8"/>
        <v>45041</v>
      </c>
      <c r="AB19" s="16"/>
      <c r="AC19" s="16">
        <f t="shared" si="9"/>
        <v>24864</v>
      </c>
      <c r="AD19" s="16">
        <f t="shared" si="10"/>
        <v>336329</v>
      </c>
      <c r="AE19" s="16">
        <f t="shared" si="11"/>
        <v>9638807</v>
      </c>
      <c r="AF19" s="16"/>
      <c r="AG19" s="16">
        <f>ROUND(AC19*Desire_severe*(1-SUM($BA$5:$BC18)/Population),0)</f>
        <v>24221</v>
      </c>
      <c r="AH19" s="16">
        <f>ROUND(AD19*Desire_mild*(1-SUM($BA$5:$BC18)/Population),0)</f>
        <v>163817</v>
      </c>
      <c r="AI19" s="16">
        <f>ROUND(AE19*Desire_asy*(1-SUM($BA$5:$BC18)/Population),0)</f>
        <v>187792</v>
      </c>
      <c r="AJ19" s="16"/>
      <c r="AK19" s="16">
        <f t="shared" si="35"/>
        <v>129780</v>
      </c>
      <c r="AL19" s="16">
        <f t="shared" si="13"/>
        <v>97335</v>
      </c>
      <c r="AM19" s="16">
        <f t="shared" si="27"/>
        <v>32445</v>
      </c>
      <c r="AN19" s="16"/>
      <c r="AO19" s="16">
        <f t="shared" si="36"/>
        <v>24221</v>
      </c>
      <c r="AP19" s="16">
        <f t="shared" si="37"/>
        <v>73114</v>
      </c>
      <c r="AQ19" s="16">
        <f t="shared" si="28"/>
        <v>0</v>
      </c>
      <c r="AR19" s="16"/>
      <c r="AS19" s="16">
        <f t="shared" si="38"/>
        <v>0</v>
      </c>
      <c r="AT19" s="16">
        <f t="shared" si="14"/>
        <v>90703</v>
      </c>
      <c r="AU19" s="16">
        <f t="shared" si="14"/>
        <v>187792</v>
      </c>
      <c r="AV19" s="16"/>
      <c r="AW19" s="16">
        <f t="shared" si="29"/>
        <v>0</v>
      </c>
      <c r="AX19" s="16">
        <f t="shared" si="15"/>
        <v>10567</v>
      </c>
      <c r="AY19" s="16">
        <f t="shared" si="30"/>
        <v>21878</v>
      </c>
      <c r="AZ19" s="16"/>
      <c r="BA19" s="16">
        <f t="shared" si="31"/>
        <v>24221</v>
      </c>
      <c r="BB19" s="16">
        <f t="shared" si="16"/>
        <v>83681</v>
      </c>
      <c r="BC19" s="16">
        <f t="shared" si="16"/>
        <v>21878</v>
      </c>
      <c r="BD19" s="16"/>
      <c r="BE19" s="20">
        <f t="shared" si="32"/>
        <v>0.60384491634491633</v>
      </c>
      <c r="BF19" s="20">
        <f t="shared" si="17"/>
        <v>0.26783893152240812</v>
      </c>
      <c r="BG19" s="20">
        <f t="shared" si="17"/>
        <v>4.6728811978494853E-3</v>
      </c>
      <c r="BH19" s="16"/>
      <c r="BI19" s="16">
        <f t="shared" si="18"/>
        <v>11749</v>
      </c>
      <c r="BJ19" s="16">
        <f t="shared" si="19"/>
        <v>18236</v>
      </c>
      <c r="BK19" s="16">
        <f t="shared" si="20"/>
        <v>191</v>
      </c>
      <c r="BL19" s="16"/>
      <c r="BM19" s="16">
        <f t="shared" si="33"/>
        <v>30176</v>
      </c>
      <c r="BN19" s="22">
        <f t="shared" si="39"/>
        <v>1.6575666025817084</v>
      </c>
      <c r="BO19" s="19">
        <f t="shared" si="40"/>
        <v>0.23251656649714902</v>
      </c>
    </row>
    <row r="20" spans="1:67" s="9" customFormat="1" ht="13" customHeight="1" x14ac:dyDescent="0.15">
      <c r="A20" s="15" t="s">
        <v>1</v>
      </c>
      <c r="B20" s="25">
        <v>10000000</v>
      </c>
      <c r="D20" s="38">
        <f t="shared" si="34"/>
        <v>15</v>
      </c>
      <c r="E20" s="41">
        <f t="shared" si="21"/>
        <v>43906</v>
      </c>
      <c r="F20" s="16"/>
      <c r="G20" s="17">
        <f t="shared" si="22"/>
        <v>0.62995909757415169</v>
      </c>
      <c r="H20" s="40">
        <f t="shared" si="0"/>
        <v>19.733990997373194</v>
      </c>
      <c r="I20" s="16">
        <f t="shared" si="23"/>
        <v>194365</v>
      </c>
      <c r="J20" s="16">
        <f>SUM(I$5:I20)</f>
        <v>637758</v>
      </c>
      <c r="K20" s="16"/>
      <c r="L20" s="18">
        <f t="shared" ca="1" si="24"/>
        <v>1.6575666025817084</v>
      </c>
      <c r="M20" s="40">
        <f t="shared" ca="1" si="1"/>
        <v>6.1028900100142991</v>
      </c>
      <c r="N20" s="16">
        <f t="shared" ca="1" si="2"/>
        <v>18205</v>
      </c>
      <c r="O20" s="16">
        <f ca="1">SUM(N$5:N20)</f>
        <v>39470</v>
      </c>
      <c r="P20" s="16"/>
      <c r="Q20" s="19">
        <f t="shared" ca="1" si="25"/>
        <v>6.1888678777843632E-2</v>
      </c>
      <c r="R20" s="16"/>
      <c r="S20" s="16">
        <f t="shared" ca="1" si="3"/>
        <v>86520</v>
      </c>
      <c r="T20" s="19">
        <f t="shared" ca="1" si="26"/>
        <v>0.21041377716134999</v>
      </c>
      <c r="U20" s="35"/>
      <c r="V20" s="30">
        <f t="shared" si="4"/>
        <v>0.7</v>
      </c>
      <c r="W20" s="16">
        <f t="shared" si="5"/>
        <v>9362242</v>
      </c>
      <c r="X20" s="16"/>
      <c r="Y20" s="16">
        <f t="shared" si="6"/>
        <v>19437</v>
      </c>
      <c r="Z20" s="16">
        <f t="shared" si="7"/>
        <v>116619</v>
      </c>
      <c r="AA20" s="16">
        <f t="shared" si="8"/>
        <v>58309</v>
      </c>
      <c r="AB20" s="16"/>
      <c r="AC20" s="16">
        <f t="shared" si="9"/>
        <v>29243</v>
      </c>
      <c r="AD20" s="16">
        <f t="shared" si="10"/>
        <v>361760</v>
      </c>
      <c r="AE20" s="16">
        <f t="shared" si="11"/>
        <v>9608997</v>
      </c>
      <c r="AF20" s="16"/>
      <c r="AG20" s="16">
        <f>ROUND(AC20*Desire_severe*(1-SUM($BA$5:$BC19)/Population),0)</f>
        <v>28107</v>
      </c>
      <c r="AH20" s="16">
        <f>ROUND(AD20*Desire_mild*(1-SUM($BA$5:$BC19)/Population),0)</f>
        <v>173856</v>
      </c>
      <c r="AI20" s="16">
        <f>ROUND(AE20*Desire_asy*(1-SUM($BA$5:$BC19)/Population),0)</f>
        <v>184717</v>
      </c>
      <c r="AJ20" s="16"/>
      <c r="AK20" s="16">
        <f t="shared" si="35"/>
        <v>194670</v>
      </c>
      <c r="AL20" s="16">
        <f t="shared" si="13"/>
        <v>146003</v>
      </c>
      <c r="AM20" s="16">
        <f t="shared" si="27"/>
        <v>48667</v>
      </c>
      <c r="AN20" s="16"/>
      <c r="AO20" s="16">
        <f t="shared" si="36"/>
        <v>28107</v>
      </c>
      <c r="AP20" s="16">
        <f t="shared" si="37"/>
        <v>117896</v>
      </c>
      <c r="AQ20" s="16">
        <f t="shared" si="28"/>
        <v>0</v>
      </c>
      <c r="AR20" s="16"/>
      <c r="AS20" s="16">
        <f t="shared" si="38"/>
        <v>0</v>
      </c>
      <c r="AT20" s="16">
        <f t="shared" si="14"/>
        <v>55960</v>
      </c>
      <c r="AU20" s="16">
        <f t="shared" si="14"/>
        <v>184717</v>
      </c>
      <c r="AV20" s="16"/>
      <c r="AW20" s="16">
        <f t="shared" si="29"/>
        <v>0</v>
      </c>
      <c r="AX20" s="16">
        <f t="shared" si="15"/>
        <v>11316</v>
      </c>
      <c r="AY20" s="16">
        <f t="shared" si="30"/>
        <v>37351</v>
      </c>
      <c r="AZ20" s="16"/>
      <c r="BA20" s="16">
        <f t="shared" si="31"/>
        <v>28107</v>
      </c>
      <c r="BB20" s="16">
        <f t="shared" si="16"/>
        <v>129212</v>
      </c>
      <c r="BC20" s="16">
        <f t="shared" si="16"/>
        <v>37351</v>
      </c>
      <c r="BD20" s="16"/>
      <c r="BE20" s="20">
        <f t="shared" si="32"/>
        <v>0.66467188728926585</v>
      </c>
      <c r="BF20" s="20">
        <f t="shared" si="17"/>
        <v>0.3223656567890314</v>
      </c>
      <c r="BG20" s="20">
        <f t="shared" si="17"/>
        <v>6.0681671562599097E-3</v>
      </c>
      <c r="BH20" s="16"/>
      <c r="BI20" s="16">
        <f t="shared" si="18"/>
        <v>14993</v>
      </c>
      <c r="BJ20" s="16">
        <f t="shared" si="19"/>
        <v>33761</v>
      </c>
      <c r="BK20" s="16">
        <f t="shared" si="20"/>
        <v>367</v>
      </c>
      <c r="BL20" s="16"/>
      <c r="BM20" s="16">
        <f t="shared" si="33"/>
        <v>49121</v>
      </c>
      <c r="BN20" s="22">
        <f t="shared" si="39"/>
        <v>1.6278168080593849</v>
      </c>
      <c r="BO20" s="19">
        <f t="shared" si="40"/>
        <v>0.25232958339754458</v>
      </c>
    </row>
    <row r="21" spans="1:67" s="9" customFormat="1" ht="13" customHeight="1" x14ac:dyDescent="0.15">
      <c r="A21" s="15" t="s">
        <v>56</v>
      </c>
      <c r="B21" s="8">
        <v>1</v>
      </c>
      <c r="D21" s="38">
        <f t="shared" si="34"/>
        <v>16</v>
      </c>
      <c r="E21" s="41">
        <f t="shared" si="21"/>
        <v>43911</v>
      </c>
      <c r="F21" s="16"/>
      <c r="G21" s="17">
        <f t="shared" si="22"/>
        <v>0.61915845869881247</v>
      </c>
      <c r="H21" s="40">
        <f t="shared" si="0"/>
        <v>36.458321990384064</v>
      </c>
      <c r="I21" s="16">
        <f t="shared" si="23"/>
        <v>122442</v>
      </c>
      <c r="J21" s="16">
        <f>SUM(I$5:I21)</f>
        <v>760200</v>
      </c>
      <c r="K21" s="16"/>
      <c r="L21" s="18">
        <f t="shared" ca="1" si="24"/>
        <v>1.6278168080593849</v>
      </c>
      <c r="M21" s="40">
        <f t="shared" ca="1" si="1"/>
        <v>6.4933240878276504</v>
      </c>
      <c r="N21" s="16">
        <f t="shared" ca="1" si="2"/>
        <v>30176</v>
      </c>
      <c r="O21" s="16">
        <f ca="1">SUM(N$5:N21)</f>
        <v>69646</v>
      </c>
      <c r="P21" s="16"/>
      <c r="Q21" s="19">
        <f t="shared" ca="1" si="25"/>
        <v>9.1615364377795314E-2</v>
      </c>
      <c r="R21" s="16"/>
      <c r="S21" s="16">
        <f t="shared" ca="1" si="3"/>
        <v>129780</v>
      </c>
      <c r="T21" s="19">
        <f t="shared" ca="1" si="26"/>
        <v>0.23251656649714902</v>
      </c>
      <c r="U21" s="35"/>
      <c r="V21" s="30">
        <f t="shared" si="4"/>
        <v>0.7</v>
      </c>
      <c r="W21" s="16">
        <f t="shared" si="5"/>
        <v>9239800</v>
      </c>
      <c r="X21" s="16"/>
      <c r="Y21" s="16">
        <f t="shared" si="6"/>
        <v>12244</v>
      </c>
      <c r="Z21" s="16">
        <f t="shared" si="7"/>
        <v>73465</v>
      </c>
      <c r="AA21" s="16">
        <f t="shared" si="8"/>
        <v>36733</v>
      </c>
      <c r="AB21" s="16"/>
      <c r="AC21" s="16">
        <f t="shared" si="9"/>
        <v>22122</v>
      </c>
      <c r="AD21" s="16">
        <f t="shared" si="10"/>
        <v>320404</v>
      </c>
      <c r="AE21" s="16">
        <f t="shared" si="11"/>
        <v>9657474</v>
      </c>
      <c r="AF21" s="16"/>
      <c r="AG21" s="16">
        <f>ROUND(AC21*Desire_severe*(1-SUM($BA$5:$BC20)/Population),0)</f>
        <v>20832</v>
      </c>
      <c r="AH21" s="16">
        <f>ROUND(AD21*Desire_mild*(1-SUM($BA$5:$BC20)/Population),0)</f>
        <v>150862</v>
      </c>
      <c r="AI21" s="16">
        <f>ROUND(AE21*Desire_asy*(1-SUM($BA$5:$BC20)/Population),0)</f>
        <v>181889</v>
      </c>
      <c r="AJ21" s="16"/>
      <c r="AK21" s="16">
        <f t="shared" si="35"/>
        <v>292005</v>
      </c>
      <c r="AL21" s="16">
        <f t="shared" si="13"/>
        <v>219004</v>
      </c>
      <c r="AM21" s="16">
        <f t="shared" si="27"/>
        <v>73001</v>
      </c>
      <c r="AN21" s="16"/>
      <c r="AO21" s="16">
        <f t="shared" si="36"/>
        <v>20832</v>
      </c>
      <c r="AP21" s="16">
        <f t="shared" si="37"/>
        <v>150862</v>
      </c>
      <c r="AQ21" s="16">
        <f t="shared" si="28"/>
        <v>47310</v>
      </c>
      <c r="AR21" s="16"/>
      <c r="AS21" s="16">
        <f t="shared" si="38"/>
        <v>0</v>
      </c>
      <c r="AT21" s="16">
        <f t="shared" si="38"/>
        <v>0</v>
      </c>
      <c r="AU21" s="16">
        <f t="shared" si="38"/>
        <v>134579</v>
      </c>
      <c r="AV21" s="16"/>
      <c r="AW21" s="16">
        <f t="shared" si="29"/>
        <v>0</v>
      </c>
      <c r="AX21" s="16">
        <f t="shared" si="15"/>
        <v>0</v>
      </c>
      <c r="AY21" s="16">
        <f t="shared" si="30"/>
        <v>73001</v>
      </c>
      <c r="AZ21" s="16"/>
      <c r="BA21" s="16">
        <f t="shared" si="31"/>
        <v>20832</v>
      </c>
      <c r="BB21" s="16">
        <f t="shared" si="31"/>
        <v>150862</v>
      </c>
      <c r="BC21" s="16">
        <f t="shared" si="31"/>
        <v>120311</v>
      </c>
      <c r="BD21" s="16"/>
      <c r="BE21" s="20">
        <f t="shared" si="32"/>
        <v>0.55347617756079925</v>
      </c>
      <c r="BF21" s="20">
        <f t="shared" si="32"/>
        <v>0.22928864808179672</v>
      </c>
      <c r="BG21" s="20">
        <f t="shared" si="32"/>
        <v>3.8035825931294251E-3</v>
      </c>
      <c r="BH21" s="16"/>
      <c r="BI21" s="16">
        <f t="shared" si="18"/>
        <v>9271</v>
      </c>
      <c r="BJ21" s="16">
        <f t="shared" si="19"/>
        <v>28254</v>
      </c>
      <c r="BK21" s="16">
        <f t="shared" si="20"/>
        <v>965</v>
      </c>
      <c r="BL21" s="16"/>
      <c r="BM21" s="16">
        <f t="shared" si="33"/>
        <v>38490</v>
      </c>
      <c r="BN21" s="22">
        <f t="shared" si="39"/>
        <v>0.78357525294680486</v>
      </c>
      <c r="BO21" s="19">
        <f t="shared" si="40"/>
        <v>0.13181281142446191</v>
      </c>
    </row>
    <row r="22" spans="1:67" s="9" customFormat="1" ht="13" customHeight="1" x14ac:dyDescent="0.15">
      <c r="A22" s="15"/>
      <c r="B22" s="8"/>
      <c r="D22" s="38">
        <f t="shared" si="34"/>
        <v>17</v>
      </c>
      <c r="E22" s="41">
        <f t="shared" si="21"/>
        <v>43916</v>
      </c>
      <c r="F22" s="16"/>
      <c r="G22" s="17">
        <f t="shared" si="22"/>
        <v>0.61252324860508367</v>
      </c>
      <c r="H22" s="40">
        <f t="shared" si="0"/>
        <v>64.11266815249877</v>
      </c>
      <c r="I22" s="16">
        <f t="shared" si="23"/>
        <v>75811</v>
      </c>
      <c r="J22" s="16">
        <f>SUM(I$5:I22)</f>
        <v>836011</v>
      </c>
      <c r="K22" s="16"/>
      <c r="L22" s="18">
        <f t="shared" ca="1" si="24"/>
        <v>0.78357525294680486</v>
      </c>
      <c r="M22" s="40">
        <f t="shared" ca="1" si="1"/>
        <v>12.345977585405345</v>
      </c>
      <c r="N22" s="16">
        <f t="shared" ca="1" si="2"/>
        <v>49121</v>
      </c>
      <c r="O22" s="16">
        <f ca="1">SUM(N$5:N22)</f>
        <v>118767</v>
      </c>
      <c r="P22" s="16"/>
      <c r="Q22" s="19">
        <f t="shared" ca="1" si="25"/>
        <v>0.14206392021157616</v>
      </c>
      <c r="R22" s="16"/>
      <c r="S22" s="16">
        <f t="shared" ca="1" si="3"/>
        <v>194670</v>
      </c>
      <c r="T22" s="19">
        <f t="shared" ca="1" si="26"/>
        <v>0.25232958339754458</v>
      </c>
      <c r="U22" s="35"/>
      <c r="V22" s="30">
        <f t="shared" si="4"/>
        <v>0.7</v>
      </c>
      <c r="W22" s="16">
        <f t="shared" si="5"/>
        <v>9163989</v>
      </c>
      <c r="X22" s="16"/>
      <c r="Y22" s="16">
        <f t="shared" si="6"/>
        <v>7581</v>
      </c>
      <c r="Z22" s="16">
        <f t="shared" si="7"/>
        <v>45487</v>
      </c>
      <c r="AA22" s="16">
        <f t="shared" si="8"/>
        <v>22743</v>
      </c>
      <c r="AB22" s="16"/>
      <c r="AC22" s="16">
        <f t="shared" si="9"/>
        <v>17505</v>
      </c>
      <c r="AD22" s="16">
        <f t="shared" si="10"/>
        <v>293592</v>
      </c>
      <c r="AE22" s="16">
        <f t="shared" si="11"/>
        <v>9688903</v>
      </c>
      <c r="AF22" s="16"/>
      <c r="AG22" s="16">
        <f>ROUND(AC22*Desire_severe*(1-SUM($BA$5:$BC21)/Population),0)</f>
        <v>15973</v>
      </c>
      <c r="AH22" s="16">
        <f>ROUND(AD22*Desire_mild*(1-SUM($BA$5:$BC21)/Population),0)</f>
        <v>133951</v>
      </c>
      <c r="AI22" s="16">
        <f>ROUND(AE22*Desire_asy*(1-SUM($BA$5:$BC21)/Population),0)</f>
        <v>176822</v>
      </c>
      <c r="AJ22" s="16"/>
      <c r="AK22" s="16">
        <f t="shared" si="35"/>
        <v>438008</v>
      </c>
      <c r="AL22" s="16">
        <f t="shared" si="13"/>
        <v>328506</v>
      </c>
      <c r="AM22" s="16">
        <f t="shared" si="27"/>
        <v>109502</v>
      </c>
      <c r="AN22" s="16"/>
      <c r="AO22" s="16">
        <f t="shared" si="36"/>
        <v>15973</v>
      </c>
      <c r="AP22" s="16">
        <f t="shared" si="37"/>
        <v>133951</v>
      </c>
      <c r="AQ22" s="16">
        <f t="shared" si="28"/>
        <v>176822</v>
      </c>
      <c r="AR22" s="16"/>
      <c r="AS22" s="16">
        <f t="shared" si="38"/>
        <v>0</v>
      </c>
      <c r="AT22" s="16">
        <f t="shared" si="38"/>
        <v>0</v>
      </c>
      <c r="AU22" s="16">
        <f t="shared" si="38"/>
        <v>0</v>
      </c>
      <c r="AV22" s="16"/>
      <c r="AW22" s="16">
        <f t="shared" si="29"/>
        <v>0</v>
      </c>
      <c r="AX22" s="16">
        <f t="shared" si="15"/>
        <v>0</v>
      </c>
      <c r="AY22" s="16">
        <f t="shared" si="30"/>
        <v>0</v>
      </c>
      <c r="AZ22" s="16"/>
      <c r="BA22" s="16">
        <f t="shared" si="31"/>
        <v>15973</v>
      </c>
      <c r="BB22" s="16">
        <f t="shared" si="31"/>
        <v>133951</v>
      </c>
      <c r="BC22" s="16">
        <f t="shared" si="31"/>
        <v>176822</v>
      </c>
      <c r="BD22" s="16"/>
      <c r="BE22" s="20">
        <f t="shared" si="32"/>
        <v>0.43307626392459297</v>
      </c>
      <c r="BF22" s="20">
        <f t="shared" si="32"/>
        <v>0.15493269571377966</v>
      </c>
      <c r="BG22" s="20">
        <f t="shared" si="32"/>
        <v>2.3473245629561986E-3</v>
      </c>
      <c r="BH22" s="16"/>
      <c r="BI22" s="16">
        <f t="shared" si="18"/>
        <v>5579</v>
      </c>
      <c r="BJ22" s="16">
        <f t="shared" si="19"/>
        <v>17169</v>
      </c>
      <c r="BK22" s="16">
        <f t="shared" si="20"/>
        <v>1214</v>
      </c>
      <c r="BL22" s="16"/>
      <c r="BM22" s="16">
        <f t="shared" si="33"/>
        <v>23962</v>
      </c>
      <c r="BN22" s="22">
        <f t="shared" si="39"/>
        <v>0.62255131202909841</v>
      </c>
      <c r="BO22" s="19">
        <f t="shared" si="40"/>
        <v>7.333525123490417E-2</v>
      </c>
    </row>
    <row r="23" spans="1:67" s="9" customFormat="1" ht="13" customHeight="1" x14ac:dyDescent="0.15">
      <c r="A23" s="15" t="s">
        <v>43</v>
      </c>
      <c r="B23" s="26">
        <v>1E-3</v>
      </c>
      <c r="D23" s="38">
        <f t="shared" si="34"/>
        <v>18</v>
      </c>
      <c r="E23" s="41">
        <f t="shared" si="21"/>
        <v>43921</v>
      </c>
      <c r="F23" s="16"/>
      <c r="G23" s="17">
        <f t="shared" si="22"/>
        <v>0.60847187526918767</v>
      </c>
      <c r="H23" s="40">
        <f t="shared" si="0"/>
        <v>109.96401515652877</v>
      </c>
      <c r="I23" s="16">
        <f t="shared" si="23"/>
        <v>46436</v>
      </c>
      <c r="J23" s="16">
        <f>SUM(I$5:I23)</f>
        <v>882447</v>
      </c>
      <c r="K23" s="16"/>
      <c r="L23" s="18">
        <f t="shared" ca="1" si="24"/>
        <v>0.62255131202909841</v>
      </c>
      <c r="M23" s="40">
        <f t="shared" ca="1" si="1"/>
        <v>24.436734965986595</v>
      </c>
      <c r="N23" s="16">
        <f t="shared" ca="1" si="2"/>
        <v>38490</v>
      </c>
      <c r="O23" s="16">
        <f ca="1">SUM(N$5:N23)</f>
        <v>157257</v>
      </c>
      <c r="P23" s="16"/>
      <c r="Q23" s="19">
        <f t="shared" ca="1" si="25"/>
        <v>0.17820560328269006</v>
      </c>
      <c r="R23" s="16"/>
      <c r="S23" s="16">
        <f t="shared" ca="1" si="3"/>
        <v>292005</v>
      </c>
      <c r="T23" s="19">
        <f t="shared" ca="1" si="26"/>
        <v>0.13181281142446191</v>
      </c>
      <c r="U23" s="35"/>
      <c r="V23" s="30">
        <f t="shared" si="4"/>
        <v>0.7</v>
      </c>
      <c r="W23" s="16">
        <f t="shared" si="5"/>
        <v>9117553</v>
      </c>
      <c r="X23" s="16"/>
      <c r="Y23" s="16">
        <f t="shared" si="6"/>
        <v>4644</v>
      </c>
      <c r="Z23" s="16">
        <f t="shared" si="7"/>
        <v>27862</v>
      </c>
      <c r="AA23" s="16">
        <f t="shared" si="8"/>
        <v>13930</v>
      </c>
      <c r="AB23" s="16"/>
      <c r="AC23" s="16">
        <f t="shared" si="9"/>
        <v>14598</v>
      </c>
      <c r="AD23" s="16">
        <f t="shared" si="10"/>
        <v>276701</v>
      </c>
      <c r="AE23" s="16">
        <f t="shared" si="11"/>
        <v>9708701</v>
      </c>
      <c r="AF23" s="16"/>
      <c r="AG23" s="16">
        <f>ROUND(AC23*Desire_severe*(1-SUM($BA$5:$BC22)/Population),0)</f>
        <v>12844</v>
      </c>
      <c r="AH23" s="16">
        <f>ROUND(AD23*Desire_mild*(1-SUM($BA$5:$BC22)/Population),0)</f>
        <v>121724</v>
      </c>
      <c r="AI23" s="16">
        <f>ROUND(AE23*Desire_asy*(1-SUM($BA$5:$BC22)/Population),0)</f>
        <v>170839</v>
      </c>
      <c r="AJ23" s="16"/>
      <c r="AK23" s="16">
        <f t="shared" si="35"/>
        <v>657012</v>
      </c>
      <c r="AL23" s="16">
        <f t="shared" si="13"/>
        <v>492759</v>
      </c>
      <c r="AM23" s="16">
        <f t="shared" si="27"/>
        <v>164253</v>
      </c>
      <c r="AN23" s="16"/>
      <c r="AO23" s="16">
        <f t="shared" si="36"/>
        <v>12844</v>
      </c>
      <c r="AP23" s="16">
        <f t="shared" si="37"/>
        <v>121724</v>
      </c>
      <c r="AQ23" s="16">
        <f t="shared" si="28"/>
        <v>170839</v>
      </c>
      <c r="AR23" s="16"/>
      <c r="AS23" s="16">
        <f t="shared" si="38"/>
        <v>0</v>
      </c>
      <c r="AT23" s="16">
        <f t="shared" si="38"/>
        <v>0</v>
      </c>
      <c r="AU23" s="16">
        <f t="shared" si="38"/>
        <v>0</v>
      </c>
      <c r="AV23" s="16"/>
      <c r="AW23" s="16">
        <f t="shared" si="29"/>
        <v>0</v>
      </c>
      <c r="AX23" s="16">
        <f t="shared" si="15"/>
        <v>0</v>
      </c>
      <c r="AY23" s="16">
        <f t="shared" si="30"/>
        <v>0</v>
      </c>
      <c r="AZ23" s="16"/>
      <c r="BA23" s="16">
        <f t="shared" si="31"/>
        <v>12844</v>
      </c>
      <c r="BB23" s="16">
        <f t="shared" si="31"/>
        <v>121724</v>
      </c>
      <c r="BC23" s="16">
        <f t="shared" si="31"/>
        <v>170839</v>
      </c>
      <c r="BD23" s="16"/>
      <c r="BE23" s="20">
        <f t="shared" si="32"/>
        <v>0.31812577065351416</v>
      </c>
      <c r="BF23" s="20">
        <f t="shared" si="32"/>
        <v>0.10069352839346443</v>
      </c>
      <c r="BG23" s="20">
        <f t="shared" si="32"/>
        <v>1.4347954479183157E-3</v>
      </c>
      <c r="BH23" s="16"/>
      <c r="BI23" s="16">
        <f t="shared" si="18"/>
        <v>3313</v>
      </c>
      <c r="BJ23" s="16">
        <f t="shared" si="19"/>
        <v>10352</v>
      </c>
      <c r="BK23" s="16">
        <f t="shared" si="20"/>
        <v>1049</v>
      </c>
      <c r="BL23" s="16"/>
      <c r="BM23" s="16">
        <f t="shared" si="33"/>
        <v>14714</v>
      </c>
      <c r="BN23" s="22">
        <f t="shared" si="39"/>
        <v>0.61405558801435611</v>
      </c>
      <c r="BO23" s="19">
        <f t="shared" si="40"/>
        <v>4.8178332520210733E-2</v>
      </c>
    </row>
    <row r="24" spans="1:67" s="9" customFormat="1" ht="13" customHeight="1" x14ac:dyDescent="0.15">
      <c r="A24" s="15" t="s">
        <v>44</v>
      </c>
      <c r="B24" s="26">
        <v>2.5000000000000001E-2</v>
      </c>
      <c r="D24" s="38">
        <f t="shared" si="34"/>
        <v>19</v>
      </c>
      <c r="E24" s="41">
        <f t="shared" si="21"/>
        <v>43926</v>
      </c>
      <c r="F24" s="16"/>
      <c r="G24" s="17">
        <f t="shared" si="22"/>
        <v>0.60601663422403118</v>
      </c>
      <c r="H24" s="40">
        <f t="shared" si="0"/>
        <v>186.05573779112837</v>
      </c>
      <c r="I24" s="16">
        <f t="shared" si="23"/>
        <v>28255</v>
      </c>
      <c r="J24" s="16">
        <f>SUM(I$5:I24)</f>
        <v>910702</v>
      </c>
      <c r="K24" s="16"/>
      <c r="L24" s="18">
        <f t="shared" ca="1" si="24"/>
        <v>0.61405558801435611</v>
      </c>
      <c r="M24" s="40">
        <f t="shared" ca="1" si="1"/>
        <v>44.394651228203131</v>
      </c>
      <c r="N24" s="16">
        <f t="shared" ca="1" si="2"/>
        <v>23962</v>
      </c>
      <c r="O24" s="16">
        <f ca="1">SUM(N$5:N24)</f>
        <v>181219</v>
      </c>
      <c r="P24" s="16"/>
      <c r="Q24" s="19">
        <f t="shared" ca="1" si="25"/>
        <v>0.19898825301800149</v>
      </c>
      <c r="R24" s="16"/>
      <c r="S24" s="16">
        <f t="shared" ca="1" si="3"/>
        <v>326746</v>
      </c>
      <c r="T24" s="19">
        <f t="shared" ca="1" si="26"/>
        <v>7.333525123490417E-2</v>
      </c>
      <c r="U24" s="35"/>
      <c r="V24" s="30">
        <f t="shared" si="4"/>
        <v>0.7</v>
      </c>
      <c r="W24" s="16">
        <f t="shared" si="5"/>
        <v>9089298</v>
      </c>
      <c r="X24" s="16"/>
      <c r="Y24" s="16">
        <f t="shared" si="6"/>
        <v>2826</v>
      </c>
      <c r="Z24" s="16">
        <f t="shared" si="7"/>
        <v>16953</v>
      </c>
      <c r="AA24" s="16">
        <f t="shared" si="8"/>
        <v>8476</v>
      </c>
      <c r="AB24" s="16"/>
      <c r="AC24" s="16">
        <f t="shared" si="9"/>
        <v>12798</v>
      </c>
      <c r="AD24" s="16">
        <f t="shared" si="10"/>
        <v>266247</v>
      </c>
      <c r="AE24" s="16">
        <f t="shared" si="11"/>
        <v>9720955</v>
      </c>
      <c r="AF24" s="16"/>
      <c r="AG24" s="16">
        <f>ROUND(AC24*Desire_severe*(1-SUM($BA$5:$BC23)/Population),0)</f>
        <v>10869</v>
      </c>
      <c r="AH24" s="16">
        <f>ROUND(AD24*Desire_mild*(1-SUM($BA$5:$BC23)/Population),0)</f>
        <v>113060</v>
      </c>
      <c r="AI24" s="16">
        <f>ROUND(AE24*Desire_asy*(1-SUM($BA$5:$BC23)/Population),0)</f>
        <v>165117</v>
      </c>
      <c r="AJ24" s="16"/>
      <c r="AK24" s="16">
        <f t="shared" si="35"/>
        <v>985518</v>
      </c>
      <c r="AL24" s="16">
        <f t="shared" si="13"/>
        <v>739139</v>
      </c>
      <c r="AM24" s="16">
        <f t="shared" si="27"/>
        <v>246379</v>
      </c>
      <c r="AN24" s="16"/>
      <c r="AO24" s="16">
        <f t="shared" si="36"/>
        <v>10869</v>
      </c>
      <c r="AP24" s="16">
        <f t="shared" si="37"/>
        <v>113060</v>
      </c>
      <c r="AQ24" s="16">
        <f t="shared" si="28"/>
        <v>165117</v>
      </c>
      <c r="AR24" s="16"/>
      <c r="AS24" s="16">
        <f t="shared" si="38"/>
        <v>0</v>
      </c>
      <c r="AT24" s="16">
        <f t="shared" si="38"/>
        <v>0</v>
      </c>
      <c r="AU24" s="16">
        <f t="shared" si="38"/>
        <v>0</v>
      </c>
      <c r="AV24" s="16"/>
      <c r="AW24" s="16">
        <f t="shared" si="29"/>
        <v>0</v>
      </c>
      <c r="AX24" s="16">
        <f t="shared" si="15"/>
        <v>0</v>
      </c>
      <c r="AY24" s="16">
        <f t="shared" si="30"/>
        <v>0</v>
      </c>
      <c r="AZ24" s="16"/>
      <c r="BA24" s="16">
        <f t="shared" si="31"/>
        <v>10869</v>
      </c>
      <c r="BB24" s="16">
        <f t="shared" si="31"/>
        <v>113060</v>
      </c>
      <c r="BC24" s="16">
        <f t="shared" si="31"/>
        <v>165117</v>
      </c>
      <c r="BD24" s="16"/>
      <c r="BE24" s="20">
        <f t="shared" si="32"/>
        <v>0.22081575246132207</v>
      </c>
      <c r="BF24" s="20">
        <f t="shared" si="32"/>
        <v>6.3673956889655089E-2</v>
      </c>
      <c r="BG24" s="20">
        <f t="shared" si="32"/>
        <v>8.7193079280790823E-4</v>
      </c>
      <c r="BH24" s="16"/>
      <c r="BI24" s="16">
        <f t="shared" si="18"/>
        <v>1962</v>
      </c>
      <c r="BJ24" s="16">
        <f t="shared" si="19"/>
        <v>6288</v>
      </c>
      <c r="BK24" s="16">
        <f t="shared" si="20"/>
        <v>940</v>
      </c>
      <c r="BL24" s="16"/>
      <c r="BM24" s="16">
        <f t="shared" si="33"/>
        <v>9190</v>
      </c>
      <c r="BN24" s="22">
        <f t="shared" si="39"/>
        <v>0.62457523447057228</v>
      </c>
      <c r="BO24" s="19">
        <f t="shared" si="40"/>
        <v>3.1794247282439472E-2</v>
      </c>
    </row>
    <row r="25" spans="1:67" s="9" customFormat="1" ht="13" customHeight="1" x14ac:dyDescent="0.15">
      <c r="A25" s="15"/>
      <c r="B25" s="23"/>
      <c r="D25" s="38">
        <f t="shared" si="34"/>
        <v>20</v>
      </c>
      <c r="E25" s="41">
        <f t="shared" si="21"/>
        <v>43931</v>
      </c>
      <c r="F25" s="16"/>
      <c r="G25" s="17">
        <f t="shared" si="22"/>
        <v>0.60450855574373652</v>
      </c>
      <c r="H25" s="40">
        <f t="shared" si="0"/>
        <v>312.38529259132986</v>
      </c>
      <c r="I25" s="16">
        <f t="shared" si="23"/>
        <v>17123</v>
      </c>
      <c r="J25" s="16">
        <f>SUM(I$5:I25)</f>
        <v>927825</v>
      </c>
      <c r="K25" s="16"/>
      <c r="L25" s="18">
        <f t="shared" ca="1" si="24"/>
        <v>0.62457523447057228</v>
      </c>
      <c r="M25" s="40">
        <f t="shared" ca="1" si="1"/>
        <v>75.60994927250897</v>
      </c>
      <c r="N25" s="16">
        <f t="shared" ca="1" si="2"/>
        <v>14714</v>
      </c>
      <c r="O25" s="16">
        <f ca="1">SUM(N$5:N25)</f>
        <v>195933</v>
      </c>
      <c r="P25" s="16"/>
      <c r="Q25" s="19">
        <f t="shared" ca="1" si="25"/>
        <v>0.21117452105731147</v>
      </c>
      <c r="R25" s="16"/>
      <c r="S25" s="16">
        <f t="shared" ca="1" si="3"/>
        <v>305407</v>
      </c>
      <c r="T25" s="19">
        <f t="shared" ca="1" si="26"/>
        <v>4.8178332520210733E-2</v>
      </c>
      <c r="U25" s="35"/>
      <c r="V25" s="30">
        <f t="shared" si="4"/>
        <v>0.7</v>
      </c>
      <c r="W25" s="16">
        <f t="shared" si="5"/>
        <v>9072175</v>
      </c>
      <c r="X25" s="16"/>
      <c r="Y25" s="16">
        <f t="shared" si="6"/>
        <v>1712</v>
      </c>
      <c r="Z25" s="16">
        <f t="shared" si="7"/>
        <v>10274</v>
      </c>
      <c r="AA25" s="16">
        <f t="shared" si="8"/>
        <v>5137</v>
      </c>
      <c r="AB25" s="16"/>
      <c r="AC25" s="16">
        <f t="shared" si="9"/>
        <v>11695</v>
      </c>
      <c r="AD25" s="16">
        <f t="shared" si="10"/>
        <v>259846</v>
      </c>
      <c r="AE25" s="16">
        <f t="shared" si="11"/>
        <v>9728459</v>
      </c>
      <c r="AF25" s="16"/>
      <c r="AG25" s="16">
        <f>ROUND(AC25*Desire_severe*(1-SUM($BA$5:$BC24)/Population),0)</f>
        <v>9594</v>
      </c>
      <c r="AH25" s="16">
        <f>ROUND(AD25*Desire_mild*(1-SUM($BA$5:$BC24)/Population),0)</f>
        <v>106586</v>
      </c>
      <c r="AI25" s="16">
        <f>ROUND(AE25*Desire_asy*(1-SUM($BA$5:$BC24)/Population),0)</f>
        <v>159621</v>
      </c>
      <c r="AJ25" s="16"/>
      <c r="AK25" s="16">
        <f t="shared" si="35"/>
        <v>1478277</v>
      </c>
      <c r="AL25" s="16">
        <f t="shared" si="13"/>
        <v>1108708</v>
      </c>
      <c r="AM25" s="16">
        <f t="shared" si="27"/>
        <v>369569</v>
      </c>
      <c r="AN25" s="16"/>
      <c r="AO25" s="16">
        <f t="shared" si="36"/>
        <v>9594</v>
      </c>
      <c r="AP25" s="16">
        <f t="shared" si="37"/>
        <v>106586</v>
      </c>
      <c r="AQ25" s="16">
        <f t="shared" si="28"/>
        <v>159621</v>
      </c>
      <c r="AR25" s="16"/>
      <c r="AS25" s="16">
        <f t="shared" si="38"/>
        <v>0</v>
      </c>
      <c r="AT25" s="16">
        <f t="shared" si="38"/>
        <v>0</v>
      </c>
      <c r="AU25" s="16">
        <f t="shared" si="38"/>
        <v>0</v>
      </c>
      <c r="AV25" s="16"/>
      <c r="AW25" s="16">
        <f t="shared" si="29"/>
        <v>0</v>
      </c>
      <c r="AX25" s="16">
        <f t="shared" si="15"/>
        <v>0</v>
      </c>
      <c r="AY25" s="16">
        <f t="shared" si="30"/>
        <v>0</v>
      </c>
      <c r="AZ25" s="16"/>
      <c r="BA25" s="16">
        <f t="shared" si="31"/>
        <v>9594</v>
      </c>
      <c r="BB25" s="16">
        <f t="shared" si="31"/>
        <v>106586</v>
      </c>
      <c r="BC25" s="16">
        <f t="shared" si="31"/>
        <v>159621</v>
      </c>
      <c r="BD25" s="16"/>
      <c r="BE25" s="20">
        <f t="shared" si="32"/>
        <v>0.146387345019239</v>
      </c>
      <c r="BF25" s="20">
        <f t="shared" si="32"/>
        <v>3.9538803752992159E-2</v>
      </c>
      <c r="BG25" s="20">
        <f t="shared" si="32"/>
        <v>5.2803840772726698E-4</v>
      </c>
      <c r="BH25" s="16"/>
      <c r="BI25" s="16">
        <f t="shared" si="18"/>
        <v>1165</v>
      </c>
      <c r="BJ25" s="16">
        <f t="shared" si="19"/>
        <v>3883</v>
      </c>
      <c r="BK25" s="16">
        <f t="shared" si="20"/>
        <v>865</v>
      </c>
      <c r="BL25" s="16"/>
      <c r="BM25" s="16">
        <f t="shared" si="33"/>
        <v>5913</v>
      </c>
      <c r="BN25" s="22">
        <f t="shared" si="39"/>
        <v>0.64341675734494019</v>
      </c>
      <c r="BO25" s="19">
        <f t="shared" si="40"/>
        <v>2.1439371140786291E-2</v>
      </c>
    </row>
    <row r="26" spans="1:67" s="9" customFormat="1" ht="13" customHeight="1" x14ac:dyDescent="0.15">
      <c r="A26" s="15" t="s">
        <v>48</v>
      </c>
      <c r="B26" s="23">
        <v>1</v>
      </c>
      <c r="D26" s="38">
        <f t="shared" si="34"/>
        <v>21</v>
      </c>
      <c r="E26" s="41">
        <f t="shared" si="21"/>
        <v>43936</v>
      </c>
      <c r="F26" s="16"/>
      <c r="G26" s="17">
        <f t="shared" si="22"/>
        <v>0.60361317747077581</v>
      </c>
      <c r="H26" s="40">
        <f t="shared" si="0"/>
        <v>522.13271890435738</v>
      </c>
      <c r="I26" s="16">
        <f t="shared" si="23"/>
        <v>10351</v>
      </c>
      <c r="J26" s="16">
        <f>SUM(I$5:I26)</f>
        <v>938176</v>
      </c>
      <c r="K26" s="16"/>
      <c r="L26" s="18">
        <f t="shared" ca="1" si="24"/>
        <v>0.64341675734494019</v>
      </c>
      <c r="M26" s="40">
        <f t="shared" ca="1" si="1"/>
        <v>121.95164252453681</v>
      </c>
      <c r="N26" s="16">
        <f t="shared" ca="1" si="2"/>
        <v>9190</v>
      </c>
      <c r="O26" s="16">
        <f ca="1">SUM(N$5:N26)</f>
        <v>205123</v>
      </c>
      <c r="P26" s="16"/>
      <c r="Q26" s="19">
        <f t="shared" ca="1" si="25"/>
        <v>0.21864021249744184</v>
      </c>
      <c r="R26" s="16"/>
      <c r="S26" s="16">
        <f t="shared" ca="1" si="3"/>
        <v>289046</v>
      </c>
      <c r="T26" s="19">
        <f t="shared" ca="1" si="26"/>
        <v>3.1794247282439472E-2</v>
      </c>
      <c r="U26" s="35"/>
      <c r="V26" s="30">
        <f t="shared" si="4"/>
        <v>0.7</v>
      </c>
      <c r="W26" s="16">
        <f t="shared" si="5"/>
        <v>9061824</v>
      </c>
      <c r="X26" s="16"/>
      <c r="Y26" s="16">
        <f t="shared" si="6"/>
        <v>1035</v>
      </c>
      <c r="Z26" s="16">
        <f t="shared" si="7"/>
        <v>6211</v>
      </c>
      <c r="AA26" s="16">
        <f t="shared" si="8"/>
        <v>3105</v>
      </c>
      <c r="AB26" s="16"/>
      <c r="AC26" s="16">
        <f t="shared" si="9"/>
        <v>11025</v>
      </c>
      <c r="AD26" s="16">
        <f t="shared" si="10"/>
        <v>255952</v>
      </c>
      <c r="AE26" s="16">
        <f t="shared" si="11"/>
        <v>9733023</v>
      </c>
      <c r="AF26" s="16"/>
      <c r="AG26" s="16">
        <f>ROUND(AC26*Desire_severe*(1-SUM($BA$5:$BC25)/Population),0)</f>
        <v>8741</v>
      </c>
      <c r="AH26" s="16">
        <f>ROUND(AD26*Desire_mild*(1-SUM($BA$5:$BC25)/Population),0)</f>
        <v>101459</v>
      </c>
      <c r="AI26" s="16">
        <f>ROUND(AE26*Desire_asy*(1-SUM($BA$5:$BC25)/Population),0)</f>
        <v>154327</v>
      </c>
      <c r="AJ26" s="16"/>
      <c r="AK26" s="16">
        <f t="shared" si="35"/>
        <v>2217416</v>
      </c>
      <c r="AL26" s="16">
        <f t="shared" si="13"/>
        <v>1663062</v>
      </c>
      <c r="AM26" s="16">
        <f t="shared" si="27"/>
        <v>554354</v>
      </c>
      <c r="AN26" s="16"/>
      <c r="AO26" s="16">
        <f t="shared" si="36"/>
        <v>8741</v>
      </c>
      <c r="AP26" s="16">
        <f t="shared" si="37"/>
        <v>101459</v>
      </c>
      <c r="AQ26" s="16">
        <f t="shared" si="28"/>
        <v>154327</v>
      </c>
      <c r="AR26" s="16"/>
      <c r="AS26" s="16">
        <f t="shared" si="38"/>
        <v>0</v>
      </c>
      <c r="AT26" s="16">
        <f t="shared" si="38"/>
        <v>0</v>
      </c>
      <c r="AU26" s="16">
        <f t="shared" si="38"/>
        <v>0</v>
      </c>
      <c r="AV26" s="16"/>
      <c r="AW26" s="16">
        <f t="shared" si="29"/>
        <v>0</v>
      </c>
      <c r="AX26" s="16">
        <f t="shared" si="15"/>
        <v>0</v>
      </c>
      <c r="AY26" s="16">
        <f t="shared" si="30"/>
        <v>0</v>
      </c>
      <c r="AZ26" s="16"/>
      <c r="BA26" s="16">
        <f t="shared" si="31"/>
        <v>8741</v>
      </c>
      <c r="BB26" s="16">
        <f t="shared" si="31"/>
        <v>101459</v>
      </c>
      <c r="BC26" s="16">
        <f t="shared" si="31"/>
        <v>154327</v>
      </c>
      <c r="BD26" s="16"/>
      <c r="BE26" s="20">
        <f t="shared" si="32"/>
        <v>9.3877551020408165E-2</v>
      </c>
      <c r="BF26" s="20">
        <f t="shared" si="32"/>
        <v>2.4266268675376634E-2</v>
      </c>
      <c r="BG26" s="20">
        <f t="shared" si="32"/>
        <v>3.1901702071391387E-4</v>
      </c>
      <c r="BH26" s="16"/>
      <c r="BI26" s="16">
        <f t="shared" si="18"/>
        <v>696</v>
      </c>
      <c r="BJ26" s="16">
        <f t="shared" si="19"/>
        <v>2465</v>
      </c>
      <c r="BK26" s="16">
        <f t="shared" si="20"/>
        <v>810</v>
      </c>
      <c r="BL26" s="16"/>
      <c r="BM26" s="16">
        <f t="shared" si="33"/>
        <v>3971</v>
      </c>
      <c r="BN26" s="22">
        <f t="shared" si="39"/>
        <v>0.67157111449348894</v>
      </c>
      <c r="BO26" s="19">
        <f t="shared" si="40"/>
        <v>1.5011700128909336E-2</v>
      </c>
    </row>
    <row r="27" spans="1:67" s="9" customFormat="1" ht="13" customHeight="1" x14ac:dyDescent="0.15">
      <c r="A27" s="15" t="s">
        <v>49</v>
      </c>
      <c r="B27" s="23">
        <v>0.5</v>
      </c>
      <c r="D27" s="38">
        <f t="shared" si="34"/>
        <v>22</v>
      </c>
      <c r="E27" s="41">
        <f t="shared" si="21"/>
        <v>43941</v>
      </c>
      <c r="F27" s="16"/>
      <c r="G27" s="17">
        <f t="shared" si="22"/>
        <v>0.60307298335467352</v>
      </c>
      <c r="H27" s="40">
        <f t="shared" si="0"/>
        <v>870.39524351230739</v>
      </c>
      <c r="I27" s="16">
        <f t="shared" si="23"/>
        <v>6248</v>
      </c>
      <c r="J27" s="16">
        <f>SUM(I$5:I27)</f>
        <v>944424</v>
      </c>
      <c r="K27" s="16"/>
      <c r="L27" s="18">
        <f t="shared" ca="1" si="24"/>
        <v>0.67157111449348894</v>
      </c>
      <c r="M27" s="40">
        <f t="shared" ca="1" si="1"/>
        <v>185.91157919088542</v>
      </c>
      <c r="N27" s="16">
        <f t="shared" ca="1" si="2"/>
        <v>5913</v>
      </c>
      <c r="O27" s="16">
        <f ca="1">SUM(N$5:N27)</f>
        <v>211036</v>
      </c>
      <c r="P27" s="16"/>
      <c r="Q27" s="19">
        <f t="shared" ca="1" si="25"/>
        <v>0.22345471949039838</v>
      </c>
      <c r="R27" s="16"/>
      <c r="S27" s="16">
        <f t="shared" ca="1" si="3"/>
        <v>275801</v>
      </c>
      <c r="T27" s="19">
        <f t="shared" ca="1" si="26"/>
        <v>2.1439371140786291E-2</v>
      </c>
      <c r="U27" s="35"/>
      <c r="V27" s="30">
        <f t="shared" si="4"/>
        <v>0.7</v>
      </c>
      <c r="W27" s="16">
        <f t="shared" si="5"/>
        <v>9055576</v>
      </c>
      <c r="X27" s="16"/>
      <c r="Y27" s="16">
        <f t="shared" si="6"/>
        <v>625</v>
      </c>
      <c r="Z27" s="16">
        <f t="shared" si="7"/>
        <v>3749</v>
      </c>
      <c r="AA27" s="16">
        <f t="shared" si="8"/>
        <v>1874</v>
      </c>
      <c r="AB27" s="16"/>
      <c r="AC27" s="16">
        <f t="shared" si="9"/>
        <v>10619</v>
      </c>
      <c r="AD27" s="16">
        <f t="shared" si="10"/>
        <v>253593</v>
      </c>
      <c r="AE27" s="16">
        <f t="shared" si="11"/>
        <v>9735788</v>
      </c>
      <c r="AF27" s="16"/>
      <c r="AG27" s="16">
        <f>ROUND(AC27*Desire_severe*(1-SUM($BA$5:$BC26)/Population),0)</f>
        <v>8138</v>
      </c>
      <c r="AH27" s="16">
        <f>ROUND(AD27*Desire_mild*(1-SUM($BA$5:$BC26)/Population),0)</f>
        <v>97170</v>
      </c>
      <c r="AI27" s="16">
        <f>ROUND(AE27*Desire_asy*(1-SUM($BA$5:$BC26)/Population),0)</f>
        <v>149220</v>
      </c>
      <c r="AJ27" s="16"/>
      <c r="AK27" s="16">
        <f t="shared" si="35"/>
        <v>3326124</v>
      </c>
      <c r="AL27" s="16">
        <f t="shared" si="13"/>
        <v>2494593</v>
      </c>
      <c r="AM27" s="16">
        <f t="shared" si="27"/>
        <v>831531</v>
      </c>
      <c r="AN27" s="16"/>
      <c r="AO27" s="16">
        <f t="shared" si="36"/>
        <v>8138</v>
      </c>
      <c r="AP27" s="16">
        <f t="shared" si="37"/>
        <v>97170</v>
      </c>
      <c r="AQ27" s="16">
        <f t="shared" si="28"/>
        <v>149220</v>
      </c>
      <c r="AR27" s="16"/>
      <c r="AS27" s="16">
        <f t="shared" si="38"/>
        <v>0</v>
      </c>
      <c r="AT27" s="16">
        <f t="shared" si="38"/>
        <v>0</v>
      </c>
      <c r="AU27" s="16">
        <f t="shared" si="38"/>
        <v>0</v>
      </c>
      <c r="AV27" s="16"/>
      <c r="AW27" s="16">
        <f t="shared" si="29"/>
        <v>0</v>
      </c>
      <c r="AX27" s="16">
        <f t="shared" si="15"/>
        <v>0</v>
      </c>
      <c r="AY27" s="16">
        <f t="shared" si="30"/>
        <v>0</v>
      </c>
      <c r="AZ27" s="16"/>
      <c r="BA27" s="16">
        <f t="shared" si="31"/>
        <v>8138</v>
      </c>
      <c r="BB27" s="16">
        <f t="shared" si="31"/>
        <v>97170</v>
      </c>
      <c r="BC27" s="16">
        <f t="shared" si="31"/>
        <v>149220</v>
      </c>
      <c r="BD27" s="16"/>
      <c r="BE27" s="20">
        <f t="shared" si="32"/>
        <v>5.8856766173839344E-2</v>
      </c>
      <c r="BF27" s="20">
        <f t="shared" si="32"/>
        <v>1.4783531091157879E-2</v>
      </c>
      <c r="BG27" s="20">
        <f t="shared" si="32"/>
        <v>1.924857032630538E-4</v>
      </c>
      <c r="BH27" s="16"/>
      <c r="BI27" s="16">
        <f t="shared" si="18"/>
        <v>421</v>
      </c>
      <c r="BJ27" s="16">
        <f t="shared" si="19"/>
        <v>1628</v>
      </c>
      <c r="BK27" s="16">
        <f t="shared" si="20"/>
        <v>769</v>
      </c>
      <c r="BL27" s="16"/>
      <c r="BM27" s="16">
        <f t="shared" si="33"/>
        <v>2818</v>
      </c>
      <c r="BN27" s="22">
        <f t="shared" si="39"/>
        <v>0.70964492571140769</v>
      </c>
      <c r="BO27" s="19">
        <f t="shared" si="40"/>
        <v>1.1071473472466684E-2</v>
      </c>
    </row>
    <row r="28" spans="1:67" s="9" customFormat="1" ht="13" customHeight="1" x14ac:dyDescent="0.15">
      <c r="A28" s="15" t="s">
        <v>50</v>
      </c>
      <c r="B28" s="23">
        <v>0.02</v>
      </c>
      <c r="D28" s="38">
        <f t="shared" si="34"/>
        <v>23</v>
      </c>
      <c r="E28" s="41">
        <f t="shared" si="21"/>
        <v>43946</v>
      </c>
      <c r="F28" s="16"/>
      <c r="G28" s="17">
        <f t="shared" si="22"/>
        <v>0.60270700636942676</v>
      </c>
      <c r="H28" s="40">
        <f t="shared" si="0"/>
        <v>1448.7524576091473</v>
      </c>
      <c r="I28" s="16">
        <f t="shared" si="23"/>
        <v>3768</v>
      </c>
      <c r="J28" s="16">
        <f>SUM(I$5:I28)</f>
        <v>948192</v>
      </c>
      <c r="K28" s="16"/>
      <c r="L28" s="18">
        <f t="shared" ca="1" si="24"/>
        <v>0.70964492571140769</v>
      </c>
      <c r="M28" s="40">
        <f t="shared" ca="1" si="1"/>
        <v>266.15688553491918</v>
      </c>
      <c r="N28" s="16">
        <f t="shared" ca="1" si="2"/>
        <v>3971</v>
      </c>
      <c r="O28" s="16">
        <f ca="1">SUM(N$5:N28)</f>
        <v>215007</v>
      </c>
      <c r="P28" s="16"/>
      <c r="Q28" s="19">
        <f t="shared" ca="1" si="25"/>
        <v>0.2267547079072593</v>
      </c>
      <c r="R28" s="16"/>
      <c r="S28" s="16">
        <f t="shared" ca="1" si="3"/>
        <v>264527</v>
      </c>
      <c r="T28" s="19">
        <f t="shared" ca="1" si="26"/>
        <v>1.5011700128909336E-2</v>
      </c>
      <c r="U28" s="35"/>
      <c r="V28" s="30">
        <f t="shared" si="4"/>
        <v>0.7</v>
      </c>
      <c r="W28" s="16">
        <f t="shared" si="5"/>
        <v>9051808</v>
      </c>
      <c r="X28" s="16"/>
      <c r="Y28" s="16">
        <f t="shared" si="6"/>
        <v>377</v>
      </c>
      <c r="Z28" s="16">
        <f t="shared" si="7"/>
        <v>2261</v>
      </c>
      <c r="AA28" s="16">
        <f t="shared" si="8"/>
        <v>1130</v>
      </c>
      <c r="AB28" s="16"/>
      <c r="AC28" s="16">
        <f t="shared" si="9"/>
        <v>10373</v>
      </c>
      <c r="AD28" s="16">
        <f t="shared" si="10"/>
        <v>252167</v>
      </c>
      <c r="AE28" s="16">
        <f t="shared" si="11"/>
        <v>9737460</v>
      </c>
      <c r="AF28" s="16"/>
      <c r="AG28" s="16">
        <f>ROUND(AC28*Desire_severe*(1-SUM($BA$5:$BC27)/Population),0)</f>
        <v>7685</v>
      </c>
      <c r="AH28" s="16">
        <f>ROUND(AD28*Desire_mild*(1-SUM($BA$5:$BC27)/Population),0)</f>
        <v>93414</v>
      </c>
      <c r="AI28" s="16">
        <f>ROUND(AE28*Desire_asy*(1-SUM($BA$5:$BC27)/Population),0)</f>
        <v>144288</v>
      </c>
      <c r="AJ28" s="16"/>
      <c r="AK28" s="16">
        <f t="shared" si="35"/>
        <v>4989186</v>
      </c>
      <c r="AL28" s="16">
        <f t="shared" si="13"/>
        <v>3741890</v>
      </c>
      <c r="AM28" s="16">
        <f t="shared" si="27"/>
        <v>1247296</v>
      </c>
      <c r="AN28" s="16"/>
      <c r="AO28" s="16">
        <f t="shared" si="36"/>
        <v>7685</v>
      </c>
      <c r="AP28" s="16">
        <f t="shared" si="37"/>
        <v>93414</v>
      </c>
      <c r="AQ28" s="16">
        <f t="shared" si="28"/>
        <v>144288</v>
      </c>
      <c r="AR28" s="16"/>
      <c r="AS28" s="16">
        <f t="shared" si="38"/>
        <v>0</v>
      </c>
      <c r="AT28" s="16">
        <f t="shared" si="38"/>
        <v>0</v>
      </c>
      <c r="AU28" s="16">
        <f t="shared" si="38"/>
        <v>0</v>
      </c>
      <c r="AV28" s="16"/>
      <c r="AW28" s="16">
        <f t="shared" si="29"/>
        <v>0</v>
      </c>
      <c r="AX28" s="16">
        <f t="shared" si="15"/>
        <v>0</v>
      </c>
      <c r="AY28" s="16">
        <f t="shared" si="30"/>
        <v>0</v>
      </c>
      <c r="AZ28" s="16"/>
      <c r="BA28" s="16">
        <f t="shared" si="31"/>
        <v>7685</v>
      </c>
      <c r="BB28" s="16">
        <f t="shared" si="31"/>
        <v>93414</v>
      </c>
      <c r="BC28" s="16">
        <f t="shared" si="31"/>
        <v>144288</v>
      </c>
      <c r="BD28" s="16"/>
      <c r="BE28" s="20">
        <f t="shared" si="32"/>
        <v>3.6344355538417042E-2</v>
      </c>
      <c r="BF28" s="20">
        <f t="shared" si="32"/>
        <v>8.9662802825111933E-3</v>
      </c>
      <c r="BG28" s="20">
        <f t="shared" si="32"/>
        <v>1.1604668979384767E-4</v>
      </c>
      <c r="BH28" s="16"/>
      <c r="BI28" s="16">
        <f t="shared" si="18"/>
        <v>260</v>
      </c>
      <c r="BJ28" s="16">
        <f t="shared" si="19"/>
        <v>1133</v>
      </c>
      <c r="BK28" s="16">
        <f t="shared" si="20"/>
        <v>734</v>
      </c>
      <c r="BL28" s="16"/>
      <c r="BM28" s="16">
        <f t="shared" si="33"/>
        <v>2127</v>
      </c>
      <c r="BN28" s="22">
        <f t="shared" si="39"/>
        <v>0.75479063165365512</v>
      </c>
      <c r="BO28" s="19">
        <f t="shared" si="40"/>
        <v>8.6679408444620132E-3</v>
      </c>
    </row>
    <row r="29" spans="1:67" s="9" customFormat="1" ht="13" customHeight="1" x14ac:dyDescent="0.15">
      <c r="B29" s="8"/>
      <c r="D29" s="38">
        <f t="shared" si="34"/>
        <v>24</v>
      </c>
      <c r="E29" s="41">
        <f t="shared" si="21"/>
        <v>43951</v>
      </c>
      <c r="F29" s="16"/>
      <c r="G29" s="17">
        <f t="shared" si="22"/>
        <v>0.60237780713342137</v>
      </c>
      <c r="H29" s="40">
        <f t="shared" si="0"/>
        <v>2409.6664755050983</v>
      </c>
      <c r="I29" s="16">
        <f t="shared" si="23"/>
        <v>2271</v>
      </c>
      <c r="J29" s="16">
        <f>SUM(I$5:I29)</f>
        <v>950463</v>
      </c>
      <c r="K29" s="16"/>
      <c r="L29" s="18">
        <f t="shared" ca="1" si="24"/>
        <v>0.75479063165365512</v>
      </c>
      <c r="M29" s="40">
        <f t="shared" ca="1" si="1"/>
        <v>356.65433182098968</v>
      </c>
      <c r="N29" s="16">
        <f t="shared" ca="1" si="2"/>
        <v>2818</v>
      </c>
      <c r="O29" s="16">
        <f ca="1">SUM(N$5:N29)</f>
        <v>217825</v>
      </c>
      <c r="P29" s="16"/>
      <c r="Q29" s="19">
        <f t="shared" ca="1" si="25"/>
        <v>0.22917777967159164</v>
      </c>
      <c r="R29" s="16"/>
      <c r="S29" s="16">
        <f t="shared" ca="1" si="3"/>
        <v>254528</v>
      </c>
      <c r="T29" s="19">
        <f t="shared" ca="1" si="26"/>
        <v>1.1071473472466684E-2</v>
      </c>
      <c r="U29" s="35"/>
      <c r="V29" s="30">
        <f t="shared" si="4"/>
        <v>0.7</v>
      </c>
      <c r="W29" s="16">
        <f t="shared" si="5"/>
        <v>9049537</v>
      </c>
      <c r="X29" s="16"/>
      <c r="Y29" s="16">
        <f t="shared" si="6"/>
        <v>227</v>
      </c>
      <c r="Z29" s="16">
        <f t="shared" si="7"/>
        <v>1363</v>
      </c>
      <c r="AA29" s="16">
        <f t="shared" si="8"/>
        <v>681</v>
      </c>
      <c r="AB29" s="16"/>
      <c r="AC29" s="16">
        <f t="shared" si="9"/>
        <v>10225</v>
      </c>
      <c r="AD29" s="16">
        <f t="shared" si="10"/>
        <v>251306</v>
      </c>
      <c r="AE29" s="16">
        <f t="shared" si="11"/>
        <v>9738469</v>
      </c>
      <c r="AF29" s="16"/>
      <c r="AG29" s="16">
        <f>ROUND(AC29*Desire_severe*(1-SUM($BA$5:$BC28)/Population),0)</f>
        <v>7325</v>
      </c>
      <c r="AH29" s="16">
        <f>ROUND(AD29*Desire_mild*(1-SUM($BA$5:$BC28)/Population),0)</f>
        <v>90012</v>
      </c>
      <c r="AI29" s="16">
        <f>ROUND(AE29*Desire_asy*(1-SUM($BA$5:$BC28)/Population),0)</f>
        <v>139524</v>
      </c>
      <c r="AJ29" s="16"/>
      <c r="AK29" s="16">
        <f t="shared" si="35"/>
        <v>7483779</v>
      </c>
      <c r="AL29" s="16">
        <f t="shared" si="13"/>
        <v>5612834</v>
      </c>
      <c r="AM29" s="16">
        <f t="shared" si="27"/>
        <v>1870945</v>
      </c>
      <c r="AN29" s="16"/>
      <c r="AO29" s="16">
        <f t="shared" si="36"/>
        <v>7325</v>
      </c>
      <c r="AP29" s="16">
        <f t="shared" si="37"/>
        <v>90012</v>
      </c>
      <c r="AQ29" s="16">
        <f t="shared" si="28"/>
        <v>139524</v>
      </c>
      <c r="AR29" s="16"/>
      <c r="AS29" s="16">
        <f t="shared" si="38"/>
        <v>0</v>
      </c>
      <c r="AT29" s="16">
        <f t="shared" si="38"/>
        <v>0</v>
      </c>
      <c r="AU29" s="16">
        <f t="shared" si="38"/>
        <v>0</v>
      </c>
      <c r="AV29" s="16"/>
      <c r="AW29" s="16">
        <f t="shared" si="29"/>
        <v>0</v>
      </c>
      <c r="AX29" s="16">
        <f t="shared" si="15"/>
        <v>0</v>
      </c>
      <c r="AY29" s="16">
        <f t="shared" si="30"/>
        <v>0</v>
      </c>
      <c r="AZ29" s="16"/>
      <c r="BA29" s="16">
        <f t="shared" si="31"/>
        <v>7325</v>
      </c>
      <c r="BB29" s="16">
        <f t="shared" si="31"/>
        <v>90012</v>
      </c>
      <c r="BC29" s="16">
        <f t="shared" si="31"/>
        <v>139524</v>
      </c>
      <c r="BD29" s="16"/>
      <c r="BE29" s="20">
        <f t="shared" si="32"/>
        <v>2.2200488997555012E-2</v>
      </c>
      <c r="BF29" s="20">
        <f t="shared" si="32"/>
        <v>5.4236667648205773E-3</v>
      </c>
      <c r="BG29" s="20">
        <f t="shared" si="32"/>
        <v>6.9928856373625047E-5</v>
      </c>
      <c r="BH29" s="16"/>
      <c r="BI29" s="16">
        <f t="shared" si="18"/>
        <v>166</v>
      </c>
      <c r="BJ29" s="16">
        <f t="shared" si="19"/>
        <v>839</v>
      </c>
      <c r="BK29" s="16">
        <f t="shared" si="20"/>
        <v>706</v>
      </c>
      <c r="BL29" s="16"/>
      <c r="BM29" s="16">
        <f t="shared" si="33"/>
        <v>1711</v>
      </c>
      <c r="BN29" s="22">
        <f t="shared" si="39"/>
        <v>0.80441937000470143</v>
      </c>
      <c r="BO29" s="19">
        <f t="shared" si="40"/>
        <v>7.2236459358020104E-3</v>
      </c>
    </row>
    <row r="30" spans="1:67" s="9" customFormat="1" ht="13" customHeight="1" x14ac:dyDescent="0.15">
      <c r="A30" s="7" t="s">
        <v>3</v>
      </c>
      <c r="B30" s="8"/>
      <c r="D30" s="38">
        <f t="shared" si="34"/>
        <v>25</v>
      </c>
      <c r="E30" s="41">
        <f t="shared" si="21"/>
        <v>43956</v>
      </c>
      <c r="F30" s="16"/>
      <c r="G30" s="17">
        <f t="shared" si="22"/>
        <v>0.60233918128654973</v>
      </c>
      <c r="H30" s="40">
        <f t="shared" si="0"/>
        <v>4005.1244506790063</v>
      </c>
      <c r="I30" s="16">
        <f t="shared" si="23"/>
        <v>1368</v>
      </c>
      <c r="J30" s="16">
        <f>SUM(I$5:I30)</f>
        <v>951831</v>
      </c>
      <c r="K30" s="16"/>
      <c r="L30" s="18">
        <f t="shared" ca="1" si="24"/>
        <v>0.80441937000470143</v>
      </c>
      <c r="M30" s="40">
        <f t="shared" ca="1" si="1"/>
        <v>447.25695570392298</v>
      </c>
      <c r="N30" s="16">
        <f t="shared" ca="1" si="2"/>
        <v>2127</v>
      </c>
      <c r="O30" s="16">
        <f ca="1">SUM(N$5:N30)</f>
        <v>219952</v>
      </c>
      <c r="P30" s="16"/>
      <c r="Q30" s="19">
        <f t="shared" ca="1" si="25"/>
        <v>0.23108303890081328</v>
      </c>
      <c r="R30" s="16"/>
      <c r="S30" s="16">
        <f t="shared" ca="1" si="3"/>
        <v>245387</v>
      </c>
      <c r="T30" s="19">
        <f t="shared" ca="1" si="26"/>
        <v>8.6679408444620132E-3</v>
      </c>
      <c r="U30" s="35"/>
      <c r="V30" s="30">
        <f t="shared" si="4"/>
        <v>0.7</v>
      </c>
      <c r="W30" s="16">
        <f t="shared" si="5"/>
        <v>9048169</v>
      </c>
      <c r="X30" s="16"/>
      <c r="Y30" s="16">
        <f t="shared" si="6"/>
        <v>137</v>
      </c>
      <c r="Z30" s="16">
        <f t="shared" si="7"/>
        <v>821</v>
      </c>
      <c r="AA30" s="16">
        <f t="shared" si="8"/>
        <v>410</v>
      </c>
      <c r="AB30" s="16"/>
      <c r="AC30" s="16">
        <f t="shared" si="9"/>
        <v>10136</v>
      </c>
      <c r="AD30" s="16">
        <f t="shared" si="10"/>
        <v>250787</v>
      </c>
      <c r="AE30" s="16">
        <f t="shared" si="11"/>
        <v>9739077</v>
      </c>
      <c r="AF30" s="16"/>
      <c r="AG30" s="16">
        <f>ROUND(AC30*Desire_severe*(1-SUM($BA$5:$BC29)/Population),0)</f>
        <v>7021</v>
      </c>
      <c r="AH30" s="16">
        <f>ROUND(AD30*Desire_mild*(1-SUM($BA$5:$BC29)/Population),0)</f>
        <v>86856</v>
      </c>
      <c r="AI30" s="16">
        <f>ROUND(AE30*Desire_asy*(1-SUM($BA$5:$BC29)/Population),0)</f>
        <v>134919</v>
      </c>
      <c r="AJ30" s="16"/>
      <c r="AK30" s="16">
        <f t="shared" si="35"/>
        <v>10000000</v>
      </c>
      <c r="AL30" s="16">
        <f t="shared" si="13"/>
        <v>7500000</v>
      </c>
      <c r="AM30" s="16">
        <f t="shared" si="27"/>
        <v>2500000</v>
      </c>
      <c r="AN30" s="16"/>
      <c r="AO30" s="16">
        <f t="shared" si="36"/>
        <v>7021</v>
      </c>
      <c r="AP30" s="16">
        <f t="shared" si="37"/>
        <v>86856</v>
      </c>
      <c r="AQ30" s="16">
        <f t="shared" si="28"/>
        <v>134919</v>
      </c>
      <c r="AR30" s="16"/>
      <c r="AS30" s="16">
        <f t="shared" si="38"/>
        <v>0</v>
      </c>
      <c r="AT30" s="16">
        <f t="shared" si="38"/>
        <v>0</v>
      </c>
      <c r="AU30" s="16">
        <f t="shared" si="38"/>
        <v>0</v>
      </c>
      <c r="AV30" s="16"/>
      <c r="AW30" s="16">
        <f t="shared" si="29"/>
        <v>0</v>
      </c>
      <c r="AX30" s="16">
        <f t="shared" si="15"/>
        <v>0</v>
      </c>
      <c r="AY30" s="16">
        <f t="shared" si="30"/>
        <v>0</v>
      </c>
      <c r="AZ30" s="16"/>
      <c r="BA30" s="16">
        <f t="shared" si="31"/>
        <v>7021</v>
      </c>
      <c r="BB30" s="16">
        <f t="shared" si="31"/>
        <v>86856</v>
      </c>
      <c r="BC30" s="16">
        <f t="shared" si="31"/>
        <v>134919</v>
      </c>
      <c r="BD30" s="16"/>
      <c r="BE30" s="20">
        <f t="shared" si="32"/>
        <v>1.3516179952644041E-2</v>
      </c>
      <c r="BF30" s="20">
        <f t="shared" si="32"/>
        <v>3.2736944099973284E-3</v>
      </c>
      <c r="BG30" s="20">
        <f t="shared" si="32"/>
        <v>4.2098445263344772E-5</v>
      </c>
      <c r="BH30" s="16"/>
      <c r="BI30" s="16">
        <f t="shared" si="18"/>
        <v>111</v>
      </c>
      <c r="BJ30" s="16">
        <f t="shared" si="19"/>
        <v>660</v>
      </c>
      <c r="BK30" s="16">
        <f t="shared" si="20"/>
        <v>680</v>
      </c>
      <c r="BL30" s="16"/>
      <c r="BM30" s="16">
        <f t="shared" si="33"/>
        <v>1451</v>
      </c>
      <c r="BN30" s="22">
        <f t="shared" si="39"/>
        <v>0.84804208065458797</v>
      </c>
      <c r="BO30" s="19">
        <f t="shared" si="40"/>
        <v>6.3418940890575008E-3</v>
      </c>
    </row>
    <row r="31" spans="1:67" s="9" customFormat="1" ht="13" customHeight="1" x14ac:dyDescent="0.15">
      <c r="A31" s="15" t="s">
        <v>51</v>
      </c>
      <c r="B31" s="25">
        <v>1000</v>
      </c>
      <c r="D31" s="38">
        <f t="shared" si="34"/>
        <v>26</v>
      </c>
      <c r="E31" s="41">
        <f t="shared" si="21"/>
        <v>43961</v>
      </c>
      <c r="F31" s="16"/>
      <c r="G31" s="17">
        <f t="shared" si="22"/>
        <v>0.60194174757281549</v>
      </c>
      <c r="H31" s="40">
        <f t="shared" si="0"/>
        <v>6658.2864202056226</v>
      </c>
      <c r="I31" s="16">
        <f t="shared" si="23"/>
        <v>824</v>
      </c>
      <c r="J31" s="16">
        <f>SUM(I$5:I31)</f>
        <v>952655</v>
      </c>
      <c r="K31" s="16"/>
      <c r="L31" s="18">
        <f t="shared" ca="1" si="24"/>
        <v>0.84804208065458797</v>
      </c>
      <c r="M31" s="40">
        <f t="shared" ca="1" si="1"/>
        <v>531.17648144139582</v>
      </c>
      <c r="N31" s="16">
        <f t="shared" ca="1" si="2"/>
        <v>1711</v>
      </c>
      <c r="O31" s="16">
        <f ca="1">SUM(N$5:N31)</f>
        <v>221663</v>
      </c>
      <c r="P31" s="16"/>
      <c r="Q31" s="19">
        <f t="shared" ca="1" si="25"/>
        <v>0.23267919656118952</v>
      </c>
      <c r="R31" s="16"/>
      <c r="S31" s="16">
        <f t="shared" ca="1" si="3"/>
        <v>236861</v>
      </c>
      <c r="T31" s="19">
        <f t="shared" ca="1" si="26"/>
        <v>7.2236459358020104E-3</v>
      </c>
      <c r="U31" s="35"/>
      <c r="V31" s="30">
        <f t="shared" si="4"/>
        <v>0.7</v>
      </c>
      <c r="W31" s="16">
        <f t="shared" si="5"/>
        <v>9047345</v>
      </c>
      <c r="X31" s="16"/>
      <c r="Y31" s="16">
        <f t="shared" si="6"/>
        <v>82</v>
      </c>
      <c r="Z31" s="16">
        <f t="shared" si="7"/>
        <v>494</v>
      </c>
      <c r="AA31" s="16">
        <f t="shared" si="8"/>
        <v>248</v>
      </c>
      <c r="AB31" s="16"/>
      <c r="AC31" s="16">
        <f t="shared" si="9"/>
        <v>10081</v>
      </c>
      <c r="AD31" s="16">
        <f t="shared" si="10"/>
        <v>250473</v>
      </c>
      <c r="AE31" s="16">
        <f t="shared" si="11"/>
        <v>9739446</v>
      </c>
      <c r="AF31" s="16"/>
      <c r="AG31" s="16">
        <f>ROUND(AC31*Desire_severe*(1-SUM($BA$5:$BC30)/Population),0)</f>
        <v>6752</v>
      </c>
      <c r="AH31" s="16">
        <f>ROUND(AD31*Desire_mild*(1-SUM($BA$5:$BC30)/Population),0)</f>
        <v>83882</v>
      </c>
      <c r="AI31" s="16">
        <f>ROUND(AE31*Desire_asy*(1-SUM($BA$5:$BC30)/Population),0)</f>
        <v>130468</v>
      </c>
      <c r="AJ31" s="16"/>
      <c r="AK31" s="16">
        <f t="shared" si="35"/>
        <v>10000000</v>
      </c>
      <c r="AL31" s="16">
        <f t="shared" si="13"/>
        <v>7500000</v>
      </c>
      <c r="AM31" s="16">
        <f t="shared" si="27"/>
        <v>2500000</v>
      </c>
      <c r="AN31" s="16"/>
      <c r="AO31" s="16">
        <f t="shared" si="36"/>
        <v>6752</v>
      </c>
      <c r="AP31" s="16">
        <f t="shared" si="37"/>
        <v>83882</v>
      </c>
      <c r="AQ31" s="16">
        <f t="shared" si="28"/>
        <v>130468</v>
      </c>
      <c r="AR31" s="16"/>
      <c r="AS31" s="16">
        <f t="shared" si="38"/>
        <v>0</v>
      </c>
      <c r="AT31" s="16">
        <f t="shared" si="38"/>
        <v>0</v>
      </c>
      <c r="AU31" s="16">
        <f t="shared" si="38"/>
        <v>0</v>
      </c>
      <c r="AV31" s="16"/>
      <c r="AW31" s="16">
        <f t="shared" si="29"/>
        <v>0</v>
      </c>
      <c r="AX31" s="16">
        <f t="shared" si="15"/>
        <v>0</v>
      </c>
      <c r="AY31" s="16">
        <f t="shared" si="30"/>
        <v>0</v>
      </c>
      <c r="AZ31" s="16"/>
      <c r="BA31" s="16">
        <f t="shared" si="31"/>
        <v>6752</v>
      </c>
      <c r="BB31" s="16">
        <f t="shared" si="31"/>
        <v>83882</v>
      </c>
      <c r="BC31" s="16">
        <f t="shared" si="31"/>
        <v>130468</v>
      </c>
      <c r="BD31" s="16"/>
      <c r="BE31" s="20">
        <f t="shared" si="32"/>
        <v>8.1341136791984927E-3</v>
      </c>
      <c r="BF31" s="20">
        <f t="shared" si="32"/>
        <v>1.9722684680584333E-3</v>
      </c>
      <c r="BG31" s="20">
        <f t="shared" si="32"/>
        <v>2.5463460652690103E-5</v>
      </c>
      <c r="BH31" s="16"/>
      <c r="BI31" s="16">
        <f t="shared" si="18"/>
        <v>77</v>
      </c>
      <c r="BJ31" s="16">
        <f t="shared" si="19"/>
        <v>551</v>
      </c>
      <c r="BK31" s="16">
        <f t="shared" si="20"/>
        <v>655</v>
      </c>
      <c r="BL31" s="16"/>
      <c r="BM31" s="16">
        <f t="shared" si="33"/>
        <v>1283</v>
      </c>
      <c r="BN31" s="22">
        <f t="shared" si="39"/>
        <v>0.88421778084079949</v>
      </c>
      <c r="BO31" s="19">
        <f t="shared" si="40"/>
        <v>5.8027516711743905E-3</v>
      </c>
    </row>
    <row r="32" spans="1:67" s="9" customFormat="1" ht="13" customHeight="1" x14ac:dyDescent="0.15">
      <c r="A32" s="15" t="s">
        <v>57</v>
      </c>
      <c r="B32" s="8">
        <v>3</v>
      </c>
      <c r="D32" s="38">
        <f t="shared" si="34"/>
        <v>27</v>
      </c>
      <c r="E32" s="41">
        <f t="shared" si="21"/>
        <v>43966</v>
      </c>
      <c r="F32" s="16"/>
      <c r="G32" s="17">
        <f t="shared" si="22"/>
        <v>0.60282258064516125</v>
      </c>
      <c r="H32" s="40">
        <f t="shared" si="0"/>
        <v>11049.791779003532</v>
      </c>
      <c r="I32" s="16">
        <f t="shared" si="23"/>
        <v>496</v>
      </c>
      <c r="J32" s="16">
        <f>SUM(I$5:I32)</f>
        <v>953151</v>
      </c>
      <c r="K32" s="16"/>
      <c r="L32" s="18">
        <f t="shared" ca="1" si="24"/>
        <v>0.88421778084079949</v>
      </c>
      <c r="M32" s="40">
        <f t="shared" ca="1" si="1"/>
        <v>604.42349580113114</v>
      </c>
      <c r="N32" s="16">
        <f t="shared" ca="1" si="2"/>
        <v>1451</v>
      </c>
      <c r="O32" s="16">
        <f ca="1">SUM(N$5:N32)</f>
        <v>223114</v>
      </c>
      <c r="P32" s="16"/>
      <c r="Q32" s="19">
        <f t="shared" ca="1" si="25"/>
        <v>0.23408043426487513</v>
      </c>
      <c r="R32" s="16"/>
      <c r="S32" s="16">
        <f t="shared" ca="1" si="3"/>
        <v>228796</v>
      </c>
      <c r="T32" s="19">
        <f t="shared" ca="1" si="26"/>
        <v>6.3418940890575008E-3</v>
      </c>
      <c r="U32" s="35"/>
      <c r="V32" s="30">
        <f t="shared" si="4"/>
        <v>0.7</v>
      </c>
      <c r="W32" s="16">
        <f t="shared" si="5"/>
        <v>9046849</v>
      </c>
      <c r="X32" s="16"/>
      <c r="Y32" s="16">
        <f t="shared" si="6"/>
        <v>50</v>
      </c>
      <c r="Z32" s="16">
        <f t="shared" si="7"/>
        <v>298</v>
      </c>
      <c r="AA32" s="16">
        <f t="shared" si="8"/>
        <v>148</v>
      </c>
      <c r="AB32" s="16"/>
      <c r="AC32" s="16">
        <f t="shared" si="9"/>
        <v>10050</v>
      </c>
      <c r="AD32" s="16">
        <f t="shared" si="10"/>
        <v>250286</v>
      </c>
      <c r="AE32" s="16">
        <f t="shared" si="11"/>
        <v>9739664</v>
      </c>
      <c r="AF32" s="16"/>
      <c r="AG32" s="16">
        <f>ROUND(AC32*Desire_severe*(1-SUM($BA$5:$BC31)/Population),0)</f>
        <v>6509</v>
      </c>
      <c r="AH32" s="16">
        <f>ROUND(AD32*Desire_mild*(1-SUM($BA$5:$BC31)/Population),0)</f>
        <v>81052</v>
      </c>
      <c r="AI32" s="16">
        <f>ROUND(AE32*Desire_asy*(1-SUM($BA$5:$BC31)/Population),0)</f>
        <v>126164</v>
      </c>
      <c r="AJ32" s="16"/>
      <c r="AK32" s="16">
        <f t="shared" si="35"/>
        <v>10000000</v>
      </c>
      <c r="AL32" s="16">
        <f t="shared" si="13"/>
        <v>7500000</v>
      </c>
      <c r="AM32" s="16">
        <f t="shared" si="27"/>
        <v>2500000</v>
      </c>
      <c r="AN32" s="16"/>
      <c r="AO32" s="16">
        <f t="shared" si="36"/>
        <v>6509</v>
      </c>
      <c r="AP32" s="16">
        <f t="shared" si="37"/>
        <v>81052</v>
      </c>
      <c r="AQ32" s="16">
        <f t="shared" si="28"/>
        <v>126164</v>
      </c>
      <c r="AR32" s="16"/>
      <c r="AS32" s="16">
        <f t="shared" si="38"/>
        <v>0</v>
      </c>
      <c r="AT32" s="16">
        <f t="shared" si="38"/>
        <v>0</v>
      </c>
      <c r="AU32" s="16">
        <f t="shared" si="38"/>
        <v>0</v>
      </c>
      <c r="AV32" s="16"/>
      <c r="AW32" s="16">
        <f t="shared" si="29"/>
        <v>0</v>
      </c>
      <c r="AX32" s="16">
        <f t="shared" si="15"/>
        <v>0</v>
      </c>
      <c r="AY32" s="16">
        <f t="shared" si="30"/>
        <v>0</v>
      </c>
      <c r="AZ32" s="16"/>
      <c r="BA32" s="16">
        <f t="shared" si="31"/>
        <v>6509</v>
      </c>
      <c r="BB32" s="16">
        <f t="shared" si="31"/>
        <v>81052</v>
      </c>
      <c r="BC32" s="16">
        <f t="shared" si="31"/>
        <v>126164</v>
      </c>
      <c r="BD32" s="16"/>
      <c r="BE32" s="20">
        <f t="shared" si="32"/>
        <v>4.9751243781094526E-3</v>
      </c>
      <c r="BF32" s="20">
        <f t="shared" si="32"/>
        <v>1.1906379102306962E-3</v>
      </c>
      <c r="BG32" s="20">
        <f t="shared" si="32"/>
        <v>1.5195596069843889E-5</v>
      </c>
      <c r="BH32" s="16"/>
      <c r="BI32" s="16">
        <f t="shared" si="18"/>
        <v>58</v>
      </c>
      <c r="BJ32" s="16">
        <f t="shared" si="19"/>
        <v>482</v>
      </c>
      <c r="BK32" s="16">
        <f t="shared" si="20"/>
        <v>633</v>
      </c>
      <c r="BL32" s="16"/>
      <c r="BM32" s="16">
        <f t="shared" si="33"/>
        <v>1173</v>
      </c>
      <c r="BN32" s="22">
        <f t="shared" si="39"/>
        <v>0.91426344505066248</v>
      </c>
      <c r="BO32" s="19">
        <f t="shared" si="40"/>
        <v>5.4883612118376418E-3</v>
      </c>
    </row>
    <row r="33" spans="1:67" s="9" customFormat="1" ht="13" customHeight="1" x14ac:dyDescent="0.15">
      <c r="A33" s="15" t="s">
        <v>52</v>
      </c>
      <c r="B33" s="23">
        <v>0.5</v>
      </c>
      <c r="D33" s="38">
        <f t="shared" si="34"/>
        <v>28</v>
      </c>
      <c r="E33" s="41">
        <f t="shared" si="21"/>
        <v>43971</v>
      </c>
      <c r="F33" s="16"/>
      <c r="G33" s="17">
        <f t="shared" si="22"/>
        <v>0.60200668896321075</v>
      </c>
      <c r="H33" s="40">
        <f t="shared" si="0"/>
        <v>18359.543349681015</v>
      </c>
      <c r="I33" s="16">
        <f t="shared" si="23"/>
        <v>299</v>
      </c>
      <c r="J33" s="16">
        <f>SUM(I$5:I33)</f>
        <v>953450</v>
      </c>
      <c r="K33" s="16"/>
      <c r="L33" s="18">
        <f t="shared" ca="1" si="24"/>
        <v>0.91426344505066248</v>
      </c>
      <c r="M33" s="40">
        <f t="shared" ca="1" si="1"/>
        <v>664.73284501639341</v>
      </c>
      <c r="N33" s="16">
        <f t="shared" ca="1" si="2"/>
        <v>1283</v>
      </c>
      <c r="O33" s="16">
        <f ca="1">SUM(N$5:N33)</f>
        <v>224397</v>
      </c>
      <c r="P33" s="16"/>
      <c r="Q33" s="19">
        <f t="shared" ca="1" si="25"/>
        <v>0.2353526666317059</v>
      </c>
      <c r="R33" s="16"/>
      <c r="S33" s="16">
        <f t="shared" ca="1" si="3"/>
        <v>221102</v>
      </c>
      <c r="T33" s="19">
        <f t="shared" ca="1" si="26"/>
        <v>5.8027516711743905E-3</v>
      </c>
      <c r="U33" s="35"/>
      <c r="V33" s="30">
        <f t="shared" si="4"/>
        <v>0.7</v>
      </c>
      <c r="W33" s="16">
        <f t="shared" si="5"/>
        <v>9046550</v>
      </c>
      <c r="X33" s="16"/>
      <c r="Y33" s="16">
        <f t="shared" si="6"/>
        <v>30</v>
      </c>
      <c r="Z33" s="16">
        <f t="shared" si="7"/>
        <v>179</v>
      </c>
      <c r="AA33" s="16">
        <f t="shared" si="8"/>
        <v>90</v>
      </c>
      <c r="AB33" s="16"/>
      <c r="AC33" s="16">
        <f t="shared" si="9"/>
        <v>10030</v>
      </c>
      <c r="AD33" s="16">
        <f t="shared" si="10"/>
        <v>250172</v>
      </c>
      <c r="AE33" s="16">
        <f t="shared" si="11"/>
        <v>9739798</v>
      </c>
      <c r="AF33" s="16"/>
      <c r="AG33" s="16">
        <f>ROUND(AC33*Desire_severe*(1-SUM($BA$5:$BC32)/Population),0)</f>
        <v>6282</v>
      </c>
      <c r="AH33" s="16">
        <f>ROUND(AD33*Desire_mild*(1-SUM($BA$5:$BC32)/Population),0)</f>
        <v>78342</v>
      </c>
      <c r="AI33" s="16">
        <f>ROUND(AE33*Desire_asy*(1-SUM($BA$5:$BC32)/Population),0)</f>
        <v>122002</v>
      </c>
      <c r="AJ33" s="16"/>
      <c r="AK33" s="16">
        <f t="shared" si="35"/>
        <v>10000000</v>
      </c>
      <c r="AL33" s="16">
        <f t="shared" si="13"/>
        <v>7500000</v>
      </c>
      <c r="AM33" s="16">
        <f t="shared" si="27"/>
        <v>2500000</v>
      </c>
      <c r="AN33" s="16"/>
      <c r="AO33" s="16">
        <f t="shared" si="36"/>
        <v>6282</v>
      </c>
      <c r="AP33" s="16">
        <f t="shared" si="37"/>
        <v>78342</v>
      </c>
      <c r="AQ33" s="16">
        <f t="shared" si="28"/>
        <v>122002</v>
      </c>
      <c r="AR33" s="16"/>
      <c r="AS33" s="16">
        <f t="shared" si="38"/>
        <v>0</v>
      </c>
      <c r="AT33" s="16">
        <f t="shared" si="38"/>
        <v>0</v>
      </c>
      <c r="AU33" s="16">
        <f t="shared" si="38"/>
        <v>0</v>
      </c>
      <c r="AV33" s="16"/>
      <c r="AW33" s="16">
        <f t="shared" si="29"/>
        <v>0</v>
      </c>
      <c r="AX33" s="16">
        <f t="shared" si="15"/>
        <v>0</v>
      </c>
      <c r="AY33" s="16">
        <f t="shared" si="30"/>
        <v>0</v>
      </c>
      <c r="AZ33" s="16"/>
      <c r="BA33" s="16">
        <f t="shared" si="31"/>
        <v>6282</v>
      </c>
      <c r="BB33" s="16">
        <f t="shared" si="31"/>
        <v>78342</v>
      </c>
      <c r="BC33" s="16">
        <f t="shared" si="31"/>
        <v>122002</v>
      </c>
      <c r="BD33" s="16"/>
      <c r="BE33" s="20">
        <f t="shared" si="32"/>
        <v>2.9910269192422734E-3</v>
      </c>
      <c r="BF33" s="20">
        <f t="shared" si="32"/>
        <v>7.1550773068129129E-4</v>
      </c>
      <c r="BG33" s="20">
        <f t="shared" si="32"/>
        <v>9.2404380460457184E-6</v>
      </c>
      <c r="BH33" s="16"/>
      <c r="BI33" s="16">
        <f t="shared" si="18"/>
        <v>46</v>
      </c>
      <c r="BJ33" s="16">
        <f t="shared" si="19"/>
        <v>436</v>
      </c>
      <c r="BK33" s="16">
        <f t="shared" si="20"/>
        <v>611</v>
      </c>
      <c r="BL33" s="16"/>
      <c r="BM33" s="16">
        <f t="shared" si="33"/>
        <v>1093</v>
      </c>
      <c r="BN33" s="22">
        <f t="shared" si="39"/>
        <v>0.9317988064791134</v>
      </c>
      <c r="BO33" s="19">
        <f t="shared" si="40"/>
        <v>5.2897505638206232E-3</v>
      </c>
    </row>
    <row r="34" spans="1:67" s="9" customFormat="1" ht="13" customHeight="1" x14ac:dyDescent="0.15">
      <c r="A34" s="15" t="s">
        <v>53</v>
      </c>
      <c r="B34" s="25">
        <v>10000000</v>
      </c>
      <c r="D34" s="38">
        <f t="shared" si="34"/>
        <v>29</v>
      </c>
      <c r="E34" s="41">
        <f t="shared" si="21"/>
        <v>43976</v>
      </c>
      <c r="F34" s="16"/>
      <c r="G34" s="17">
        <f t="shared" si="22"/>
        <v>0.6</v>
      </c>
      <c r="H34" s="40">
        <f t="shared" si="0"/>
        <v>30603.859955523189</v>
      </c>
      <c r="I34" s="16">
        <f t="shared" si="23"/>
        <v>180</v>
      </c>
      <c r="J34" s="16">
        <f>SUM(I$5:I34)</f>
        <v>953630</v>
      </c>
      <c r="K34" s="16"/>
      <c r="L34" s="18">
        <f t="shared" ca="1" si="24"/>
        <v>0.9317988064791134</v>
      </c>
      <c r="M34" s="40">
        <f t="shared" ca="1" si="1"/>
        <v>716.97945688592893</v>
      </c>
      <c r="N34" s="16">
        <f t="shared" ca="1" si="2"/>
        <v>1173</v>
      </c>
      <c r="O34" s="16">
        <f ca="1">SUM(N$5:N34)</f>
        <v>225570</v>
      </c>
      <c r="P34" s="16"/>
      <c r="Q34" s="19">
        <f t="shared" ca="1" si="25"/>
        <v>0.23653828004572003</v>
      </c>
      <c r="R34" s="16"/>
      <c r="S34" s="16">
        <f t="shared" ca="1" si="3"/>
        <v>213725</v>
      </c>
      <c r="T34" s="19">
        <f t="shared" ca="1" si="26"/>
        <v>5.4883612118376418E-3</v>
      </c>
      <c r="U34" s="35"/>
      <c r="V34" s="30">
        <f t="shared" si="4"/>
        <v>0.7</v>
      </c>
      <c r="W34" s="16">
        <f t="shared" si="5"/>
        <v>9046370</v>
      </c>
      <c r="X34" s="16"/>
      <c r="Y34" s="16">
        <f t="shared" si="6"/>
        <v>18</v>
      </c>
      <c r="Z34" s="16">
        <f t="shared" si="7"/>
        <v>108</v>
      </c>
      <c r="AA34" s="16">
        <f t="shared" si="8"/>
        <v>54</v>
      </c>
      <c r="AB34" s="16"/>
      <c r="AC34" s="16">
        <f t="shared" si="9"/>
        <v>10018</v>
      </c>
      <c r="AD34" s="16">
        <f t="shared" si="10"/>
        <v>250104</v>
      </c>
      <c r="AE34" s="16">
        <f t="shared" si="11"/>
        <v>9739878</v>
      </c>
      <c r="AF34" s="16"/>
      <c r="AG34" s="16">
        <f>ROUND(AC34*Desire_severe*(1-SUM($BA$5:$BC33)/Population),0)</f>
        <v>6067</v>
      </c>
      <c r="AH34" s="16">
        <f>ROUND(AD34*Desire_mild*(1-SUM($BA$5:$BC33)/Population),0)</f>
        <v>75737</v>
      </c>
      <c r="AI34" s="16">
        <f>ROUND(AE34*Desire_asy*(1-SUM($BA$5:$BC33)/Population),0)</f>
        <v>117978</v>
      </c>
      <c r="AJ34" s="16"/>
      <c r="AK34" s="16">
        <f t="shared" si="35"/>
        <v>10000000</v>
      </c>
      <c r="AL34" s="16">
        <f t="shared" si="13"/>
        <v>7500000</v>
      </c>
      <c r="AM34" s="16">
        <f t="shared" si="27"/>
        <v>2500000</v>
      </c>
      <c r="AN34" s="16"/>
      <c r="AO34" s="16">
        <f t="shared" si="36"/>
        <v>6067</v>
      </c>
      <c r="AP34" s="16">
        <f t="shared" si="37"/>
        <v>75737</v>
      </c>
      <c r="AQ34" s="16">
        <f t="shared" si="28"/>
        <v>117978</v>
      </c>
      <c r="AR34" s="16"/>
      <c r="AS34" s="16">
        <f t="shared" si="38"/>
        <v>0</v>
      </c>
      <c r="AT34" s="16">
        <f t="shared" si="38"/>
        <v>0</v>
      </c>
      <c r="AU34" s="16">
        <f t="shared" si="38"/>
        <v>0</v>
      </c>
      <c r="AV34" s="16"/>
      <c r="AW34" s="16">
        <f t="shared" si="29"/>
        <v>0</v>
      </c>
      <c r="AX34" s="16">
        <f t="shared" si="15"/>
        <v>0</v>
      </c>
      <c r="AY34" s="16">
        <f t="shared" si="30"/>
        <v>0</v>
      </c>
      <c r="AZ34" s="16"/>
      <c r="BA34" s="16">
        <f t="shared" si="31"/>
        <v>6067</v>
      </c>
      <c r="BB34" s="16">
        <f t="shared" si="31"/>
        <v>75737</v>
      </c>
      <c r="BC34" s="16">
        <f t="shared" si="31"/>
        <v>117978</v>
      </c>
      <c r="BD34" s="16"/>
      <c r="BE34" s="20">
        <f t="shared" si="32"/>
        <v>1.7967658215212617E-3</v>
      </c>
      <c r="BF34" s="20">
        <f t="shared" si="32"/>
        <v>4.318203627291047E-4</v>
      </c>
      <c r="BG34" s="20">
        <f t="shared" si="32"/>
        <v>5.544217288963989E-6</v>
      </c>
      <c r="BH34" s="16"/>
      <c r="BI34" s="16">
        <f t="shared" si="18"/>
        <v>39</v>
      </c>
      <c r="BJ34" s="16">
        <f t="shared" si="19"/>
        <v>405</v>
      </c>
      <c r="BK34" s="16">
        <f t="shared" si="20"/>
        <v>591</v>
      </c>
      <c r="BL34" s="16"/>
      <c r="BM34" s="16">
        <f t="shared" si="33"/>
        <v>1035</v>
      </c>
      <c r="BN34" s="22">
        <f t="shared" si="39"/>
        <v>0.94693504117108873</v>
      </c>
      <c r="BO34" s="19">
        <f t="shared" si="40"/>
        <v>5.180646905126588E-3</v>
      </c>
    </row>
    <row r="35" spans="1:67" s="9" customFormat="1" ht="13" customHeight="1" x14ac:dyDescent="0.15">
      <c r="B35" s="8"/>
      <c r="D35" s="38">
        <f t="shared" si="34"/>
        <v>30</v>
      </c>
      <c r="E35" s="41">
        <f t="shared" si="21"/>
        <v>43981</v>
      </c>
      <c r="F35" s="16"/>
      <c r="G35" s="17">
        <f t="shared" si="22"/>
        <v>0.60185185185185186</v>
      </c>
      <c r="H35" s="40">
        <f t="shared" si="0"/>
        <v>50854.102516927887</v>
      </c>
      <c r="I35" s="16">
        <f t="shared" si="23"/>
        <v>108</v>
      </c>
      <c r="J35" s="16">
        <f>SUM(I$5:I35)</f>
        <v>953738</v>
      </c>
      <c r="K35" s="16"/>
      <c r="L35" s="18">
        <f t="shared" ca="1" si="24"/>
        <v>0.94693504117108873</v>
      </c>
      <c r="M35" s="40">
        <f t="shared" ca="1" si="1"/>
        <v>760.7210178077811</v>
      </c>
      <c r="N35" s="16">
        <f t="shared" ca="1" si="2"/>
        <v>1093</v>
      </c>
      <c r="O35" s="16">
        <f ca="1">SUM(N$5:N35)</f>
        <v>226663</v>
      </c>
      <c r="P35" s="16"/>
      <c r="Q35" s="19">
        <f t="shared" ca="1" si="25"/>
        <v>0.23765751181141992</v>
      </c>
      <c r="R35" s="16"/>
      <c r="S35" s="16">
        <f t="shared" ca="1" si="3"/>
        <v>206626</v>
      </c>
      <c r="T35" s="19">
        <f t="shared" ca="1" si="26"/>
        <v>5.2897505638206232E-3</v>
      </c>
      <c r="U35" s="35"/>
      <c r="V35" s="30">
        <f t="shared" si="4"/>
        <v>0.7</v>
      </c>
      <c r="W35" s="16">
        <f t="shared" si="5"/>
        <v>9046262</v>
      </c>
      <c r="X35" s="16"/>
      <c r="Y35" s="16">
        <f t="shared" si="6"/>
        <v>11</v>
      </c>
      <c r="Z35" s="16">
        <f t="shared" si="7"/>
        <v>65</v>
      </c>
      <c r="AA35" s="16">
        <f t="shared" si="8"/>
        <v>32</v>
      </c>
      <c r="AB35" s="16"/>
      <c r="AC35" s="16">
        <f t="shared" si="9"/>
        <v>10011</v>
      </c>
      <c r="AD35" s="16">
        <f t="shared" si="10"/>
        <v>250062</v>
      </c>
      <c r="AE35" s="16">
        <f t="shared" si="11"/>
        <v>9739927</v>
      </c>
      <c r="AF35" s="16"/>
      <c r="AG35" s="16">
        <f>ROUND(AC35*Desire_severe*(1-SUM($BA$5:$BC34)/Population),0)</f>
        <v>5863</v>
      </c>
      <c r="AH35" s="16">
        <f>ROUND(AD35*Desire_mild*(1-SUM($BA$5:$BC34)/Population),0)</f>
        <v>73226</v>
      </c>
      <c r="AI35" s="16">
        <f>ROUND(AE35*Desire_asy*(1-SUM($BA$5:$BC34)/Population),0)</f>
        <v>114087</v>
      </c>
      <c r="AJ35" s="16"/>
      <c r="AK35" s="16">
        <f t="shared" si="35"/>
        <v>10000000</v>
      </c>
      <c r="AL35" s="16">
        <f t="shared" si="13"/>
        <v>7500000</v>
      </c>
      <c r="AM35" s="16">
        <f t="shared" si="27"/>
        <v>2500000</v>
      </c>
      <c r="AN35" s="16"/>
      <c r="AO35" s="16">
        <f t="shared" si="36"/>
        <v>5863</v>
      </c>
      <c r="AP35" s="16">
        <f t="shared" si="37"/>
        <v>73226</v>
      </c>
      <c r="AQ35" s="16">
        <f t="shared" si="28"/>
        <v>114087</v>
      </c>
      <c r="AR35" s="16"/>
      <c r="AS35" s="16">
        <f t="shared" si="38"/>
        <v>0</v>
      </c>
      <c r="AT35" s="16">
        <f t="shared" si="38"/>
        <v>0</v>
      </c>
      <c r="AU35" s="16">
        <f t="shared" si="38"/>
        <v>0</v>
      </c>
      <c r="AV35" s="16"/>
      <c r="AW35" s="16">
        <f t="shared" si="29"/>
        <v>0</v>
      </c>
      <c r="AX35" s="16">
        <f t="shared" si="15"/>
        <v>0</v>
      </c>
      <c r="AY35" s="16">
        <f t="shared" si="30"/>
        <v>0</v>
      </c>
      <c r="AZ35" s="16"/>
      <c r="BA35" s="16">
        <f t="shared" si="31"/>
        <v>5863</v>
      </c>
      <c r="BB35" s="16">
        <f t="shared" si="31"/>
        <v>73226</v>
      </c>
      <c r="BC35" s="16">
        <f t="shared" si="31"/>
        <v>114087</v>
      </c>
      <c r="BD35" s="16"/>
      <c r="BE35" s="20">
        <f t="shared" si="32"/>
        <v>1.0987913295375088E-3</v>
      </c>
      <c r="BF35" s="20">
        <f t="shared" si="32"/>
        <v>2.5993553598707518E-4</v>
      </c>
      <c r="BG35" s="20">
        <f t="shared" si="32"/>
        <v>3.2854455685345486E-6</v>
      </c>
      <c r="BH35" s="16"/>
      <c r="BI35" s="16">
        <f t="shared" si="18"/>
        <v>34</v>
      </c>
      <c r="BJ35" s="16">
        <f t="shared" si="19"/>
        <v>381</v>
      </c>
      <c r="BK35" s="16">
        <f t="shared" si="20"/>
        <v>570</v>
      </c>
      <c r="BL35" s="16"/>
      <c r="BM35" s="16">
        <f t="shared" si="33"/>
        <v>985</v>
      </c>
      <c r="BN35" s="22">
        <f t="shared" si="39"/>
        <v>0.95169082125603865</v>
      </c>
      <c r="BO35" s="19">
        <f t="shared" si="40"/>
        <v>5.0989770986043818E-3</v>
      </c>
    </row>
    <row r="36" spans="1:67" s="9" customFormat="1" ht="13" customHeight="1" x14ac:dyDescent="0.15">
      <c r="A36" s="15" t="s">
        <v>20</v>
      </c>
      <c r="B36" s="23">
        <v>0.75</v>
      </c>
      <c r="D36" s="38">
        <f t="shared" si="34"/>
        <v>31</v>
      </c>
      <c r="E36" s="41">
        <f t="shared" si="21"/>
        <v>43986</v>
      </c>
      <c r="F36" s="16"/>
      <c r="G36" s="17">
        <f t="shared" si="22"/>
        <v>0.6</v>
      </c>
      <c r="H36" s="40">
        <f t="shared" si="0"/>
        <v>84761.45853061114</v>
      </c>
      <c r="I36" s="16">
        <f t="shared" si="23"/>
        <v>65</v>
      </c>
      <c r="J36" s="16">
        <f>SUM(I$5:I36)</f>
        <v>953803</v>
      </c>
      <c r="K36" s="16"/>
      <c r="L36" s="18">
        <f t="shared" ca="1" si="24"/>
        <v>0.95169082125603865</v>
      </c>
      <c r="M36" s="40">
        <f t="shared" ca="1" si="1"/>
        <v>802.89013254056272</v>
      </c>
      <c r="N36" s="16">
        <f t="shared" ca="1" si="2"/>
        <v>1035</v>
      </c>
      <c r="O36" s="16">
        <f ca="1">SUM(N$5:N36)</f>
        <v>227698</v>
      </c>
      <c r="P36" s="16"/>
      <c r="Q36" s="19">
        <f t="shared" ca="1" si="25"/>
        <v>0.23872644560774081</v>
      </c>
      <c r="R36" s="16"/>
      <c r="S36" s="16">
        <f t="shared" ca="1" si="3"/>
        <v>199782</v>
      </c>
      <c r="T36" s="19">
        <f t="shared" ca="1" si="26"/>
        <v>5.180646905126588E-3</v>
      </c>
      <c r="U36" s="35"/>
      <c r="V36" s="30">
        <f t="shared" si="4"/>
        <v>0.7</v>
      </c>
      <c r="W36" s="16">
        <f t="shared" si="5"/>
        <v>9046197</v>
      </c>
      <c r="X36" s="16"/>
      <c r="Y36" s="16">
        <f t="shared" si="6"/>
        <v>7</v>
      </c>
      <c r="Z36" s="16">
        <f t="shared" si="7"/>
        <v>39</v>
      </c>
      <c r="AA36" s="16">
        <f t="shared" si="8"/>
        <v>19</v>
      </c>
      <c r="AB36" s="16"/>
      <c r="AC36" s="16">
        <f t="shared" si="9"/>
        <v>10007</v>
      </c>
      <c r="AD36" s="16">
        <f t="shared" si="10"/>
        <v>250037</v>
      </c>
      <c r="AE36" s="16">
        <f t="shared" si="11"/>
        <v>9739956</v>
      </c>
      <c r="AF36" s="16"/>
      <c r="AG36" s="16">
        <f>ROUND(AC36*Desire_severe*(1-SUM($BA$5:$BC35)/Population),0)</f>
        <v>5667</v>
      </c>
      <c r="AH36" s="16">
        <f>ROUND(AD36*Desire_mild*(1-SUM($BA$5:$BC35)/Population),0)</f>
        <v>70804</v>
      </c>
      <c r="AI36" s="16">
        <f>ROUND(AE36*Desire_asy*(1-SUM($BA$5:$BC35)/Population),0)</f>
        <v>110324</v>
      </c>
      <c r="AJ36" s="16"/>
      <c r="AK36" s="16">
        <f t="shared" si="35"/>
        <v>10000000</v>
      </c>
      <c r="AL36" s="16">
        <f t="shared" ref="AL36:AL40" si="41">ROUND(AK36*Rationed_tests,0)</f>
        <v>7500000</v>
      </c>
      <c r="AM36" s="16">
        <f t="shared" si="27"/>
        <v>2500000</v>
      </c>
      <c r="AN36" s="16"/>
      <c r="AO36" s="16">
        <f t="shared" si="36"/>
        <v>5667</v>
      </c>
      <c r="AP36" s="16">
        <f t="shared" si="37"/>
        <v>70804</v>
      </c>
      <c r="AQ36" s="16">
        <f t="shared" si="28"/>
        <v>110324</v>
      </c>
      <c r="AR36" s="16"/>
      <c r="AS36" s="16">
        <f t="shared" ref="AS36:AU41" si="42">AG36-AO36</f>
        <v>0</v>
      </c>
      <c r="AT36" s="16">
        <f t="shared" si="42"/>
        <v>0</v>
      </c>
      <c r="AU36" s="16">
        <f t="shared" si="42"/>
        <v>0</v>
      </c>
      <c r="AV36" s="16"/>
      <c r="AW36" s="16">
        <f t="shared" si="29"/>
        <v>0</v>
      </c>
      <c r="AX36" s="16">
        <f t="shared" si="15"/>
        <v>0</v>
      </c>
      <c r="AY36" s="16">
        <f t="shared" si="30"/>
        <v>0</v>
      </c>
      <c r="AZ36" s="16"/>
      <c r="BA36" s="16">
        <f t="shared" ref="BA36:BC41" si="43">AW36+AO36</f>
        <v>5667</v>
      </c>
      <c r="BB36" s="16">
        <f t="shared" si="43"/>
        <v>70804</v>
      </c>
      <c r="BC36" s="16">
        <f t="shared" si="43"/>
        <v>110324</v>
      </c>
      <c r="BD36" s="16"/>
      <c r="BE36" s="20">
        <f t="shared" ref="BE36:BG41" si="44">Y36/AC36</f>
        <v>6.9951034276006792E-4</v>
      </c>
      <c r="BF36" s="20">
        <f t="shared" si="44"/>
        <v>1.5597691541651836E-4</v>
      </c>
      <c r="BG36" s="20">
        <f t="shared" si="44"/>
        <v>1.9507274981529689E-6</v>
      </c>
      <c r="BH36" s="16"/>
      <c r="BI36" s="16">
        <f t="shared" si="18"/>
        <v>31</v>
      </c>
      <c r="BJ36" s="16">
        <f t="shared" si="19"/>
        <v>363</v>
      </c>
      <c r="BK36" s="16">
        <f t="shared" si="20"/>
        <v>552</v>
      </c>
      <c r="BL36" s="16"/>
      <c r="BM36" s="16">
        <f t="shared" si="33"/>
        <v>946</v>
      </c>
      <c r="BN36" s="22">
        <f t="shared" si="39"/>
        <v>0.96040609137055832</v>
      </c>
      <c r="BO36" s="19">
        <f t="shared" ref="BO36:BO41" si="45">BM36/SUM(BA36:BC36)</f>
        <v>5.0643753847801065E-3</v>
      </c>
    </row>
    <row r="37" spans="1:67" s="9" customFormat="1" ht="13" customHeight="1" x14ac:dyDescent="0.15">
      <c r="B37" s="8"/>
      <c r="D37" s="38">
        <f t="shared" si="34"/>
        <v>32</v>
      </c>
      <c r="E37" s="41">
        <f t="shared" si="21"/>
        <v>43991</v>
      </c>
      <c r="F37" s="16"/>
      <c r="G37" s="17">
        <f t="shared" si="22"/>
        <v>0.58974358974358976</v>
      </c>
      <c r="H37" s="40">
        <f t="shared" si="0"/>
        <v>143730.62264316581</v>
      </c>
      <c r="I37" s="16">
        <f t="shared" si="23"/>
        <v>39</v>
      </c>
      <c r="J37" s="16">
        <f>SUM(I$5:I37)</f>
        <v>953842</v>
      </c>
      <c r="K37" s="16"/>
      <c r="L37" s="18">
        <f t="shared" ca="1" si="24"/>
        <v>0.96040609137055832</v>
      </c>
      <c r="M37" s="40">
        <f t="shared" ca="1" si="1"/>
        <v>839.52753557562392</v>
      </c>
      <c r="N37" s="16">
        <f t="shared" ca="1" si="2"/>
        <v>985</v>
      </c>
      <c r="O37" s="16">
        <f ca="1">SUM(N$5:N37)</f>
        <v>228683</v>
      </c>
      <c r="P37" s="16"/>
      <c r="Q37" s="19">
        <f t="shared" ca="1" si="25"/>
        <v>0.23974935052136517</v>
      </c>
      <c r="R37" s="16"/>
      <c r="S37" s="16">
        <f t="shared" ca="1" si="3"/>
        <v>193176</v>
      </c>
      <c r="T37" s="19">
        <f t="shared" ca="1" si="26"/>
        <v>5.0989770986043818E-3</v>
      </c>
      <c r="U37" s="35"/>
      <c r="V37" s="30">
        <f t="shared" si="4"/>
        <v>0.7</v>
      </c>
      <c r="W37" s="16">
        <f t="shared" si="5"/>
        <v>9046158</v>
      </c>
      <c r="X37" s="16"/>
      <c r="Y37" s="16">
        <f t="shared" si="6"/>
        <v>4</v>
      </c>
      <c r="Z37" s="16">
        <f t="shared" si="7"/>
        <v>23</v>
      </c>
      <c r="AA37" s="16">
        <f t="shared" si="8"/>
        <v>12</v>
      </c>
      <c r="AB37" s="16"/>
      <c r="AC37" s="16">
        <f t="shared" si="9"/>
        <v>10004</v>
      </c>
      <c r="AD37" s="16">
        <f t="shared" si="10"/>
        <v>250022</v>
      </c>
      <c r="AE37" s="16">
        <f t="shared" si="11"/>
        <v>9739974</v>
      </c>
      <c r="AF37" s="16"/>
      <c r="AG37" s="16">
        <f>ROUND(AC37*Desire_severe*(1-SUM($BA$5:$BC36)/Population),0)</f>
        <v>5479</v>
      </c>
      <c r="AH37" s="16">
        <f>ROUND(AD37*Desire_mild*(1-SUM($BA$5:$BC36)/Population),0)</f>
        <v>68465</v>
      </c>
      <c r="AI37" s="16">
        <f>ROUND(AE37*Desire_asy*(1-SUM($BA$5:$BC36)/Population),0)</f>
        <v>106686</v>
      </c>
      <c r="AJ37" s="16"/>
      <c r="AK37" s="16">
        <f t="shared" si="35"/>
        <v>10000000</v>
      </c>
      <c r="AL37" s="16">
        <f t="shared" si="41"/>
        <v>7500000</v>
      </c>
      <c r="AM37" s="16">
        <f t="shared" si="27"/>
        <v>2500000</v>
      </c>
      <c r="AN37" s="16"/>
      <c r="AO37" s="16">
        <f t="shared" si="36"/>
        <v>5479</v>
      </c>
      <c r="AP37" s="16">
        <f t="shared" si="37"/>
        <v>68465</v>
      </c>
      <c r="AQ37" s="16">
        <f t="shared" si="28"/>
        <v>106686</v>
      </c>
      <c r="AR37" s="16"/>
      <c r="AS37" s="16">
        <f t="shared" si="42"/>
        <v>0</v>
      </c>
      <c r="AT37" s="16">
        <f t="shared" si="42"/>
        <v>0</v>
      </c>
      <c r="AU37" s="16">
        <f t="shared" si="42"/>
        <v>0</v>
      </c>
      <c r="AV37" s="16"/>
      <c r="AW37" s="16">
        <f t="shared" si="29"/>
        <v>0</v>
      </c>
      <c r="AX37" s="16">
        <f t="shared" si="15"/>
        <v>0</v>
      </c>
      <c r="AY37" s="16">
        <f t="shared" si="30"/>
        <v>0</v>
      </c>
      <c r="AZ37" s="16"/>
      <c r="BA37" s="16">
        <f t="shared" si="43"/>
        <v>5479</v>
      </c>
      <c r="BB37" s="16">
        <f t="shared" si="43"/>
        <v>68465</v>
      </c>
      <c r="BC37" s="16">
        <f t="shared" si="43"/>
        <v>106686</v>
      </c>
      <c r="BD37" s="16"/>
      <c r="BE37" s="20">
        <f t="shared" si="44"/>
        <v>3.9984006397441024E-4</v>
      </c>
      <c r="BF37" s="20">
        <f t="shared" si="44"/>
        <v>9.199190471238531E-5</v>
      </c>
      <c r="BG37" s="20">
        <f t="shared" si="44"/>
        <v>1.2320361430122915E-6</v>
      </c>
      <c r="BH37" s="16"/>
      <c r="BI37" s="16">
        <f t="shared" si="18"/>
        <v>29</v>
      </c>
      <c r="BJ37" s="16">
        <f t="shared" si="19"/>
        <v>347</v>
      </c>
      <c r="BK37" s="16">
        <f t="shared" si="20"/>
        <v>533</v>
      </c>
      <c r="BL37" s="16"/>
      <c r="BM37" s="16">
        <f t="shared" si="33"/>
        <v>909</v>
      </c>
      <c r="BN37" s="22">
        <f t="shared" si="39"/>
        <v>0.96088794926004228</v>
      </c>
      <c r="BO37" s="19">
        <f t="shared" si="45"/>
        <v>5.0323866467364229E-3</v>
      </c>
    </row>
    <row r="38" spans="1:67" s="9" customFormat="1" ht="13" customHeight="1" x14ac:dyDescent="0.15">
      <c r="A38" s="15" t="s">
        <v>4</v>
      </c>
      <c r="B38" s="26">
        <v>0.2</v>
      </c>
      <c r="D38" s="38">
        <f t="shared" si="34"/>
        <v>33</v>
      </c>
      <c r="E38" s="41">
        <f t="shared" si="21"/>
        <v>43996</v>
      </c>
      <c r="F38" s="16"/>
      <c r="G38" s="17">
        <f t="shared" si="22"/>
        <v>0.60869565217391308</v>
      </c>
      <c r="H38" s="40">
        <f t="shared" si="0"/>
        <v>236133.45978628905</v>
      </c>
      <c r="I38" s="16">
        <f t="shared" si="23"/>
        <v>23</v>
      </c>
      <c r="J38" s="16">
        <f>SUM(I$5:I38)</f>
        <v>953865</v>
      </c>
      <c r="K38" s="16"/>
      <c r="L38" s="18">
        <f t="shared" ca="1" si="24"/>
        <v>0.96088794926004228</v>
      </c>
      <c r="M38" s="40">
        <f t="shared" ca="1" si="1"/>
        <v>877.23609395497169</v>
      </c>
      <c r="N38" s="16">
        <f t="shared" ca="1" si="2"/>
        <v>946</v>
      </c>
      <c r="O38" s="16">
        <f ca="1">SUM(N$5:N38)</f>
        <v>229629</v>
      </c>
      <c r="P38" s="16"/>
      <c r="Q38" s="19">
        <f t="shared" ca="1" si="25"/>
        <v>0.24073532418109481</v>
      </c>
      <c r="R38" s="16"/>
      <c r="S38" s="16">
        <f t="shared" ca="1" si="3"/>
        <v>186795</v>
      </c>
      <c r="T38" s="19">
        <f t="shared" ca="1" si="26"/>
        <v>5.0643753847801065E-3</v>
      </c>
      <c r="U38" s="35"/>
      <c r="V38" s="30">
        <f t="shared" si="4"/>
        <v>0.7</v>
      </c>
      <c r="W38" s="16">
        <f t="shared" si="5"/>
        <v>9046135</v>
      </c>
      <c r="X38" s="16"/>
      <c r="Y38" s="16">
        <f t="shared" si="6"/>
        <v>2</v>
      </c>
      <c r="Z38" s="16">
        <f t="shared" si="7"/>
        <v>14</v>
      </c>
      <c r="AA38" s="16">
        <f t="shared" si="8"/>
        <v>7</v>
      </c>
      <c r="AB38" s="16"/>
      <c r="AC38" s="16">
        <f t="shared" si="9"/>
        <v>10002</v>
      </c>
      <c r="AD38" s="16">
        <f t="shared" si="10"/>
        <v>250013</v>
      </c>
      <c r="AE38" s="16">
        <f t="shared" si="11"/>
        <v>9739985</v>
      </c>
      <c r="AF38" s="16"/>
      <c r="AG38" s="16">
        <f>ROUND(AC38*Desire_severe*(1-SUM($BA$5:$BC37)/Population),0)</f>
        <v>5297</v>
      </c>
      <c r="AH38" s="16">
        <f>ROUND(AD38*Desire_mild*(1-SUM($BA$5:$BC37)/Population),0)</f>
        <v>66204</v>
      </c>
      <c r="AI38" s="16">
        <f>ROUND(AE38*Desire_asy*(1-SUM($BA$5:$BC37)/Population),0)</f>
        <v>103167</v>
      </c>
      <c r="AJ38" s="16"/>
      <c r="AK38" s="16">
        <f t="shared" si="35"/>
        <v>10000000</v>
      </c>
      <c r="AL38" s="16">
        <f t="shared" si="41"/>
        <v>7500000</v>
      </c>
      <c r="AM38" s="16">
        <f t="shared" si="27"/>
        <v>2500000</v>
      </c>
      <c r="AN38" s="16"/>
      <c r="AO38" s="16">
        <f t="shared" si="36"/>
        <v>5297</v>
      </c>
      <c r="AP38" s="16">
        <f t="shared" si="37"/>
        <v>66204</v>
      </c>
      <c r="AQ38" s="16">
        <f t="shared" si="28"/>
        <v>103167</v>
      </c>
      <c r="AR38" s="16"/>
      <c r="AS38" s="16">
        <f t="shared" si="42"/>
        <v>0</v>
      </c>
      <c r="AT38" s="16">
        <f t="shared" si="42"/>
        <v>0</v>
      </c>
      <c r="AU38" s="16">
        <f t="shared" si="42"/>
        <v>0</v>
      </c>
      <c r="AV38" s="16"/>
      <c r="AW38" s="16">
        <f t="shared" si="29"/>
        <v>0</v>
      </c>
      <c r="AX38" s="16">
        <f t="shared" si="15"/>
        <v>0</v>
      </c>
      <c r="AY38" s="16">
        <f t="shared" si="30"/>
        <v>0</v>
      </c>
      <c r="AZ38" s="16"/>
      <c r="BA38" s="16">
        <f t="shared" si="43"/>
        <v>5297</v>
      </c>
      <c r="BB38" s="16">
        <f t="shared" si="43"/>
        <v>66204</v>
      </c>
      <c r="BC38" s="16">
        <f t="shared" si="43"/>
        <v>103167</v>
      </c>
      <c r="BD38" s="16"/>
      <c r="BE38" s="20">
        <f t="shared" si="44"/>
        <v>1.9996000799840031E-4</v>
      </c>
      <c r="BF38" s="20">
        <f t="shared" si="44"/>
        <v>5.5997088151416125E-5</v>
      </c>
      <c r="BG38" s="20">
        <f t="shared" si="44"/>
        <v>7.1868693842957662E-7</v>
      </c>
      <c r="BH38" s="16"/>
      <c r="BI38" s="16">
        <f t="shared" si="18"/>
        <v>27</v>
      </c>
      <c r="BJ38" s="16">
        <f t="shared" si="19"/>
        <v>334</v>
      </c>
      <c r="BK38" s="16">
        <f t="shared" si="20"/>
        <v>516</v>
      </c>
      <c r="BL38" s="16"/>
      <c r="BM38" s="16">
        <f t="shared" si="33"/>
        <v>877</v>
      </c>
      <c r="BN38" s="22">
        <f t="shared" si="39"/>
        <v>0.96479647964796478</v>
      </c>
      <c r="BO38" s="19">
        <f t="shared" si="45"/>
        <v>5.0209540385187899E-3</v>
      </c>
    </row>
    <row r="39" spans="1:67" s="9" customFormat="1" ht="13" customHeight="1" x14ac:dyDescent="0.15">
      <c r="A39" s="15" t="s">
        <v>5</v>
      </c>
      <c r="B39" s="26">
        <v>5.0000000000000001E-3</v>
      </c>
      <c r="D39" s="38">
        <f t="shared" si="34"/>
        <v>34</v>
      </c>
      <c r="E39" s="41">
        <f t="shared" si="21"/>
        <v>44001</v>
      </c>
      <c r="F39" s="16"/>
      <c r="G39" s="17">
        <f t="shared" si="22"/>
        <v>0.5714285714285714</v>
      </c>
      <c r="H39" s="40">
        <f t="shared" si="0"/>
        <v>413238.32002252806</v>
      </c>
      <c r="I39" s="16">
        <f t="shared" si="23"/>
        <v>14</v>
      </c>
      <c r="J39" s="16">
        <f>SUM(I$5:I39)</f>
        <v>953879</v>
      </c>
      <c r="K39" s="16"/>
      <c r="L39" s="18">
        <f t="shared" ca="1" si="24"/>
        <v>0.96479647964796478</v>
      </c>
      <c r="M39" s="40">
        <f t="shared" ca="1" si="1"/>
        <v>912.77375945136168</v>
      </c>
      <c r="N39" s="16">
        <f t="shared" ca="1" si="2"/>
        <v>909</v>
      </c>
      <c r="O39" s="16">
        <f ca="1">SUM(N$5:N39)</f>
        <v>230538</v>
      </c>
      <c r="P39" s="16"/>
      <c r="Q39" s="19">
        <f t="shared" ca="1" si="25"/>
        <v>0.24168474198509454</v>
      </c>
      <c r="R39" s="16"/>
      <c r="S39" s="16">
        <f t="shared" ca="1" si="3"/>
        <v>180630</v>
      </c>
      <c r="T39" s="19">
        <f t="shared" ca="1" si="26"/>
        <v>5.0323866467364229E-3</v>
      </c>
      <c r="U39" s="35"/>
      <c r="V39" s="30">
        <f t="shared" si="4"/>
        <v>0.7</v>
      </c>
      <c r="W39" s="16">
        <f t="shared" si="5"/>
        <v>9046121</v>
      </c>
      <c r="X39" s="16"/>
      <c r="Y39" s="16">
        <f t="shared" si="6"/>
        <v>1</v>
      </c>
      <c r="Z39" s="16">
        <f t="shared" si="7"/>
        <v>8</v>
      </c>
      <c r="AA39" s="16">
        <f t="shared" si="8"/>
        <v>5</v>
      </c>
      <c r="AB39" s="16"/>
      <c r="AC39" s="16">
        <f t="shared" si="9"/>
        <v>10001</v>
      </c>
      <c r="AD39" s="16">
        <f t="shared" si="10"/>
        <v>250008</v>
      </c>
      <c r="AE39" s="16">
        <f t="shared" si="11"/>
        <v>9739991</v>
      </c>
      <c r="AF39" s="16"/>
      <c r="AG39" s="16">
        <f>ROUND(AC39*Desire_severe*(1-SUM($BA$5:$BC38)/Population),0)</f>
        <v>5122</v>
      </c>
      <c r="AH39" s="16">
        <f>ROUND(AD39*Desire_mild*(1-SUM($BA$5:$BC38)/Population),0)</f>
        <v>64019</v>
      </c>
      <c r="AI39" s="16">
        <f>ROUND(AE39*Desire_asy*(1-SUM($BA$5:$BC38)/Population),0)</f>
        <v>99765</v>
      </c>
      <c r="AJ39" s="16"/>
      <c r="AK39" s="16">
        <f t="shared" si="35"/>
        <v>10000000</v>
      </c>
      <c r="AL39" s="16">
        <f t="shared" si="41"/>
        <v>7500000</v>
      </c>
      <c r="AM39" s="16">
        <f t="shared" si="27"/>
        <v>2500000</v>
      </c>
      <c r="AN39" s="16"/>
      <c r="AO39" s="16">
        <f t="shared" si="36"/>
        <v>5122</v>
      </c>
      <c r="AP39" s="16">
        <f t="shared" si="37"/>
        <v>64019</v>
      </c>
      <c r="AQ39" s="16">
        <f t="shared" si="28"/>
        <v>99765</v>
      </c>
      <c r="AR39" s="16"/>
      <c r="AS39" s="16">
        <f t="shared" si="42"/>
        <v>0</v>
      </c>
      <c r="AT39" s="16">
        <f t="shared" si="42"/>
        <v>0</v>
      </c>
      <c r="AU39" s="16">
        <f t="shared" si="42"/>
        <v>0</v>
      </c>
      <c r="AV39" s="16"/>
      <c r="AW39" s="16">
        <f t="shared" si="29"/>
        <v>0</v>
      </c>
      <c r="AX39" s="16">
        <f t="shared" si="15"/>
        <v>0</v>
      </c>
      <c r="AY39" s="16">
        <f t="shared" si="30"/>
        <v>0</v>
      </c>
      <c r="AZ39" s="16"/>
      <c r="BA39" s="16">
        <f t="shared" si="43"/>
        <v>5122</v>
      </c>
      <c r="BB39" s="16">
        <f t="shared" si="43"/>
        <v>64019</v>
      </c>
      <c r="BC39" s="16">
        <f t="shared" si="43"/>
        <v>99765</v>
      </c>
      <c r="BD39" s="16"/>
      <c r="BE39" s="20">
        <f t="shared" si="44"/>
        <v>9.9990000999900015E-5</v>
      </c>
      <c r="BF39" s="20">
        <f t="shared" si="44"/>
        <v>3.1998976032766952E-5</v>
      </c>
      <c r="BG39" s="20">
        <f t="shared" si="44"/>
        <v>5.1334749693300536E-7</v>
      </c>
      <c r="BH39" s="16"/>
      <c r="BI39" s="16">
        <f t="shared" si="18"/>
        <v>26</v>
      </c>
      <c r="BJ39" s="16">
        <f t="shared" si="19"/>
        <v>322</v>
      </c>
      <c r="BK39" s="16">
        <f t="shared" si="20"/>
        <v>499</v>
      </c>
      <c r="BL39" s="16"/>
      <c r="BM39" s="16">
        <f t="shared" si="33"/>
        <v>847</v>
      </c>
      <c r="BN39" s="22">
        <f t="shared" si="39"/>
        <v>0.96579247434435578</v>
      </c>
      <c r="BO39" s="19">
        <f t="shared" si="45"/>
        <v>5.0146235184066875E-3</v>
      </c>
    </row>
    <row r="40" spans="1:67" s="9" customFormat="1" ht="13" customHeight="1" x14ac:dyDescent="0.15">
      <c r="B40" s="8"/>
      <c r="D40" s="38">
        <f t="shared" si="34"/>
        <v>35</v>
      </c>
      <c r="E40" s="41">
        <f t="shared" si="21"/>
        <v>44006</v>
      </c>
      <c r="F40" s="16"/>
      <c r="G40" s="17" t="str">
        <f t="shared" si="22"/>
        <v/>
      </c>
      <c r="H40" s="40">
        <f t="shared" si="0"/>
        <v>661185.8174810491</v>
      </c>
      <c r="I40" s="16">
        <f t="shared" si="23"/>
        <v>8</v>
      </c>
      <c r="J40" s="16">
        <f>SUM(I$5:I40)</f>
        <v>953887</v>
      </c>
      <c r="K40" s="16"/>
      <c r="L40" s="18">
        <f t="shared" ca="1" si="24"/>
        <v>0.96579247434435578</v>
      </c>
      <c r="M40" s="40">
        <f t="shared" ca="1" si="1"/>
        <v>948.63060140824768</v>
      </c>
      <c r="N40" s="16">
        <f t="shared" ca="1" si="2"/>
        <v>877</v>
      </c>
      <c r="O40" s="16">
        <f ca="1">SUM(N$5:N40)</f>
        <v>231415</v>
      </c>
      <c r="P40" s="16"/>
      <c r="Q40" s="19">
        <f t="shared" ca="1" si="25"/>
        <v>0.24260211115153052</v>
      </c>
      <c r="R40" s="16"/>
      <c r="S40" s="16">
        <f t="shared" ca="1" si="3"/>
        <v>174668</v>
      </c>
      <c r="T40" s="19">
        <f t="shared" ca="1" si="26"/>
        <v>5.0209540385187899E-3</v>
      </c>
      <c r="U40" s="35"/>
      <c r="V40" s="30">
        <f t="shared" si="4"/>
        <v>0.7</v>
      </c>
      <c r="W40" s="16">
        <f t="shared" si="5"/>
        <v>9046113</v>
      </c>
      <c r="X40" s="16"/>
      <c r="Y40" s="16">
        <f t="shared" si="6"/>
        <v>1</v>
      </c>
      <c r="Z40" s="16">
        <f t="shared" si="7"/>
        <v>5</v>
      </c>
      <c r="AA40" s="16">
        <f t="shared" si="8"/>
        <v>2</v>
      </c>
      <c r="AB40" s="16"/>
      <c r="AC40" s="16">
        <f t="shared" si="9"/>
        <v>10001</v>
      </c>
      <c r="AD40" s="16">
        <f t="shared" si="10"/>
        <v>250005</v>
      </c>
      <c r="AE40" s="16">
        <f t="shared" si="11"/>
        <v>9739994</v>
      </c>
      <c r="AF40" s="16"/>
      <c r="AG40" s="16">
        <f>ROUND(AC40*Desire_severe*(1-SUM($BA$5:$BC39)/Population),0)</f>
        <v>4953</v>
      </c>
      <c r="AH40" s="16">
        <f>ROUND(AD40*Desire_mild*(1-SUM($BA$5:$BC39)/Population),0)</f>
        <v>61907</v>
      </c>
      <c r="AI40" s="16">
        <f>ROUND(AE40*Desire_asy*(1-SUM($BA$5:$BC39)/Population),0)</f>
        <v>96474</v>
      </c>
      <c r="AJ40" s="16"/>
      <c r="AK40" s="16">
        <f t="shared" si="35"/>
        <v>10000000</v>
      </c>
      <c r="AL40" s="16">
        <f t="shared" si="41"/>
        <v>7500000</v>
      </c>
      <c r="AM40" s="16">
        <f t="shared" si="27"/>
        <v>2500000</v>
      </c>
      <c r="AN40" s="16"/>
      <c r="AO40" s="16">
        <f t="shared" si="36"/>
        <v>4953</v>
      </c>
      <c r="AP40" s="16">
        <f t="shared" si="37"/>
        <v>61907</v>
      </c>
      <c r="AQ40" s="16">
        <f t="shared" si="28"/>
        <v>96474</v>
      </c>
      <c r="AR40" s="16"/>
      <c r="AS40" s="16">
        <f t="shared" si="42"/>
        <v>0</v>
      </c>
      <c r="AT40" s="16">
        <f t="shared" si="42"/>
        <v>0</v>
      </c>
      <c r="AU40" s="16">
        <f t="shared" si="42"/>
        <v>0</v>
      </c>
      <c r="AV40" s="16"/>
      <c r="AW40" s="16">
        <f t="shared" si="29"/>
        <v>0</v>
      </c>
      <c r="AX40" s="16">
        <f t="shared" si="15"/>
        <v>0</v>
      </c>
      <c r="AY40" s="16">
        <f t="shared" si="30"/>
        <v>0</v>
      </c>
      <c r="AZ40" s="16"/>
      <c r="BA40" s="16">
        <f t="shared" si="43"/>
        <v>4953</v>
      </c>
      <c r="BB40" s="16">
        <f t="shared" si="43"/>
        <v>61907</v>
      </c>
      <c r="BC40" s="16">
        <f t="shared" si="43"/>
        <v>96474</v>
      </c>
      <c r="BD40" s="16"/>
      <c r="BE40" s="20">
        <f t="shared" si="44"/>
        <v>9.9990000999900015E-5</v>
      </c>
      <c r="BF40" s="20">
        <f t="shared" si="44"/>
        <v>1.9999600007999841E-5</v>
      </c>
      <c r="BG40" s="20">
        <f t="shared" si="44"/>
        <v>2.0533893552706502E-7</v>
      </c>
      <c r="BH40" s="16"/>
      <c r="BI40" s="16">
        <f t="shared" si="18"/>
        <v>25</v>
      </c>
      <c r="BJ40" s="16">
        <f t="shared" si="19"/>
        <v>311</v>
      </c>
      <c r="BK40" s="16">
        <f t="shared" si="20"/>
        <v>482</v>
      </c>
      <c r="BL40" s="16"/>
      <c r="BM40" s="16">
        <f t="shared" si="33"/>
        <v>818</v>
      </c>
      <c r="BN40" s="22">
        <f t="shared" si="39"/>
        <v>0.96576151121605669</v>
      </c>
      <c r="BO40" s="19">
        <f t="shared" si="45"/>
        <v>5.0081428239068413E-3</v>
      </c>
    </row>
    <row r="41" spans="1:67" s="9" customFormat="1" ht="13" customHeight="1" x14ac:dyDescent="0.15">
      <c r="A41" s="15" t="s">
        <v>54</v>
      </c>
      <c r="B41" s="8">
        <v>2</v>
      </c>
      <c r="D41" s="38">
        <f t="shared" si="34"/>
        <v>36</v>
      </c>
      <c r="E41" s="41">
        <f t="shared" si="21"/>
        <v>44011</v>
      </c>
      <c r="F41" s="16"/>
      <c r="G41" s="17" t="str">
        <f t="shared" si="22"/>
        <v/>
      </c>
      <c r="H41" s="40" t="str">
        <f t="shared" si="0"/>
        <v/>
      </c>
      <c r="I41" s="16">
        <f t="shared" si="23"/>
        <v>5</v>
      </c>
      <c r="J41" s="16">
        <f>SUM(I$5:I41)</f>
        <v>953892</v>
      </c>
      <c r="K41" s="16"/>
      <c r="L41" s="18" t="str">
        <f t="shared" ca="1" si="24"/>
        <v/>
      </c>
      <c r="M41" s="40"/>
      <c r="N41" s="16">
        <f t="shared" ref="N41" ca="1" si="46">IF(ISERROR(OFFSET(BM41,-Delay,0)*1),0,OFFSET(BM41,-Delay,0))</f>
        <v>847</v>
      </c>
      <c r="O41" s="16">
        <f ca="1">SUM(N$5:N41)</f>
        <v>232262</v>
      </c>
      <c r="P41" s="16"/>
      <c r="Q41" s="19">
        <f t="shared" ca="1" si="25"/>
        <v>0.24348878070054053</v>
      </c>
      <c r="R41" s="16"/>
      <c r="S41" s="16">
        <f t="shared" ca="1" si="3"/>
        <v>168906</v>
      </c>
      <c r="T41" s="19">
        <f t="shared" ca="1" si="26"/>
        <v>5.0146235184066875E-3</v>
      </c>
      <c r="U41" s="35"/>
      <c r="V41" s="30">
        <f t="shared" si="4"/>
        <v>0.7</v>
      </c>
      <c r="W41" s="16">
        <f t="shared" si="5"/>
        <v>9046108</v>
      </c>
      <c r="X41" s="16"/>
      <c r="Y41" s="16">
        <f t="shared" si="6"/>
        <v>1</v>
      </c>
      <c r="Z41" s="16">
        <f t="shared" si="7"/>
        <v>3</v>
      </c>
      <c r="AA41" s="16">
        <f t="shared" si="8"/>
        <v>1</v>
      </c>
      <c r="AB41" s="16"/>
      <c r="AC41" s="16">
        <f t="shared" si="9"/>
        <v>10001</v>
      </c>
      <c r="AD41" s="16">
        <f t="shared" si="10"/>
        <v>250003</v>
      </c>
      <c r="AE41" s="16">
        <f t="shared" si="11"/>
        <v>9739996</v>
      </c>
      <c r="AF41" s="16"/>
      <c r="AG41" s="16">
        <f>ROUND(AC41*Desire_severe*(1-SUM($BA$5:$BC40)/Population),0)</f>
        <v>4790</v>
      </c>
      <c r="AH41" s="16">
        <f>ROUND(AD41*Desire_mild*(1-SUM($BA$5:$BC40)/Population),0)</f>
        <v>59865</v>
      </c>
      <c r="AI41" s="16">
        <f>ROUND(AE41*Desire_asy*(1-SUM($BA$5:$BC40)/Population),0)</f>
        <v>93293</v>
      </c>
      <c r="AJ41" s="16"/>
      <c r="AK41" s="16">
        <f t="shared" si="35"/>
        <v>10000000</v>
      </c>
      <c r="AL41" s="16">
        <f t="shared" ref="AL41" si="47">ROUND(AK41*Rationed_tests,0)</f>
        <v>7500000</v>
      </c>
      <c r="AM41" s="16">
        <f t="shared" si="27"/>
        <v>2500000</v>
      </c>
      <c r="AN41" s="16"/>
      <c r="AO41" s="16">
        <f t="shared" si="36"/>
        <v>4790</v>
      </c>
      <c r="AP41" s="16">
        <f t="shared" si="37"/>
        <v>59865</v>
      </c>
      <c r="AQ41" s="16">
        <f t="shared" si="28"/>
        <v>93293</v>
      </c>
      <c r="AR41" s="16"/>
      <c r="AS41" s="16">
        <f t="shared" si="42"/>
        <v>0</v>
      </c>
      <c r="AT41" s="16">
        <f t="shared" si="42"/>
        <v>0</v>
      </c>
      <c r="AU41" s="16">
        <f t="shared" si="42"/>
        <v>0</v>
      </c>
      <c r="AV41" s="16"/>
      <c r="AW41" s="16">
        <f t="shared" si="29"/>
        <v>0</v>
      </c>
      <c r="AX41" s="16">
        <f t="shared" si="15"/>
        <v>0</v>
      </c>
      <c r="AY41" s="16">
        <f t="shared" si="30"/>
        <v>0</v>
      </c>
      <c r="AZ41" s="16"/>
      <c r="BA41" s="16">
        <f t="shared" si="43"/>
        <v>4790</v>
      </c>
      <c r="BB41" s="16">
        <f t="shared" si="43"/>
        <v>59865</v>
      </c>
      <c r="BC41" s="16">
        <f t="shared" si="43"/>
        <v>93293</v>
      </c>
      <c r="BD41" s="16"/>
      <c r="BE41" s="20">
        <f t="shared" si="44"/>
        <v>9.9990000999900015E-5</v>
      </c>
      <c r="BF41" s="20">
        <f t="shared" si="44"/>
        <v>1.1999856001727979E-5</v>
      </c>
      <c r="BG41" s="20">
        <f t="shared" si="44"/>
        <v>1.0266944668149761E-7</v>
      </c>
      <c r="BH41" s="16"/>
      <c r="BI41" s="16">
        <f t="shared" ref="BI41" si="48">ROUND(BA41*BE41*(1-False_negative),0)+ROUND(BA41*(1-BE41)*(False_positive),0)</f>
        <v>24</v>
      </c>
      <c r="BJ41" s="16">
        <f t="shared" ref="BJ41" si="49">ROUND(BB41*BF41*(1-False_negative),0)+ROUND(BB41*(1-BF41)*(False_positive),0)</f>
        <v>300</v>
      </c>
      <c r="BK41" s="16">
        <f t="shared" ref="BK41" si="50">ROUND(BC41*BG41*(1-False_negative),0)+ROUND(BC41*(1-BG41)*(False_positive),0)</f>
        <v>466</v>
      </c>
      <c r="BL41" s="16"/>
      <c r="BM41" s="16">
        <f t="shared" si="33"/>
        <v>790</v>
      </c>
      <c r="BN41" s="22">
        <f t="shared" si="39"/>
        <v>0.96577017114914421</v>
      </c>
      <c r="BO41" s="19">
        <f t="shared" si="45"/>
        <v>5.0016461113784284E-3</v>
      </c>
    </row>
    <row r="42" spans="1:67" ht="14" customHeight="1" x14ac:dyDescent="0.15">
      <c r="F42" s="1"/>
      <c r="I42" s="1"/>
      <c r="J42" s="1"/>
      <c r="K42" s="1"/>
      <c r="N42" s="1"/>
      <c r="O42" s="1"/>
      <c r="P42" s="1"/>
      <c r="Q42" s="1"/>
      <c r="R42" s="1"/>
      <c r="S42" s="1"/>
      <c r="T42" s="1"/>
      <c r="U42" s="36"/>
      <c r="V42" s="31"/>
      <c r="W42" s="1"/>
      <c r="X42" s="1"/>
      <c r="AB42" s="1"/>
      <c r="AF42" s="1"/>
      <c r="AJ42" s="1"/>
      <c r="AN42" s="1"/>
      <c r="AR42" s="1"/>
      <c r="AV42" s="1"/>
      <c r="AZ42" s="1"/>
      <c r="BD42" s="1"/>
      <c r="BH42" s="1"/>
      <c r="BL42" s="1"/>
    </row>
    <row r="43" spans="1:67" ht="14" customHeight="1" x14ac:dyDescent="0.15">
      <c r="F43" s="1"/>
      <c r="I43" s="1"/>
      <c r="J43" s="1"/>
      <c r="K43" s="1"/>
      <c r="N43" s="1"/>
      <c r="O43" s="1"/>
      <c r="P43" s="1"/>
      <c r="Q43" s="1"/>
      <c r="R43" s="1"/>
      <c r="S43" s="1"/>
      <c r="T43" s="1"/>
      <c r="U43" s="36"/>
      <c r="V43" s="31"/>
      <c r="W43" s="1"/>
      <c r="X43" s="1"/>
      <c r="AB43" s="1"/>
      <c r="AF43" s="1"/>
      <c r="AJ43" s="1"/>
      <c r="AN43" s="1"/>
      <c r="AR43" s="1"/>
      <c r="AV43" s="1"/>
      <c r="AZ43" s="1"/>
      <c r="BD43" s="1"/>
      <c r="BH43" s="1"/>
      <c r="BL43" s="1"/>
    </row>
    <row r="44" spans="1:67" ht="14" customHeight="1" x14ac:dyDescent="0.15">
      <c r="F44" s="1"/>
      <c r="I44" s="1"/>
      <c r="J44" s="1"/>
      <c r="K44" s="1"/>
      <c r="N44" s="1"/>
      <c r="O44" s="1"/>
      <c r="P44" s="1"/>
      <c r="Q44" s="1"/>
      <c r="R44" s="1"/>
      <c r="S44" s="1"/>
      <c r="T44" s="1"/>
      <c r="U44" s="36"/>
      <c r="V44" s="31"/>
      <c r="W44" s="1"/>
      <c r="X44" s="1"/>
      <c r="AB44" s="1"/>
      <c r="AF44" s="1"/>
      <c r="AJ44" s="1"/>
      <c r="AN44" s="1"/>
      <c r="AR44" s="1"/>
      <c r="AV44" s="1"/>
      <c r="AZ44" s="1"/>
      <c r="BD44" s="1"/>
      <c r="BH44" s="1"/>
      <c r="BL44" s="1"/>
    </row>
    <row r="45" spans="1:67" ht="14" customHeight="1" x14ac:dyDescent="0.15">
      <c r="F45" s="1"/>
      <c r="I45" s="1"/>
      <c r="J45" s="1"/>
      <c r="K45" s="1"/>
      <c r="N45" s="1"/>
      <c r="O45" s="1"/>
      <c r="P45" s="1"/>
      <c r="Q45" s="1"/>
      <c r="R45" s="1"/>
      <c r="S45" s="1"/>
      <c r="T45" s="1"/>
      <c r="U45" s="36"/>
      <c r="V45" s="31"/>
      <c r="W45" s="1"/>
      <c r="X45" s="1"/>
      <c r="AB45" s="1"/>
      <c r="AF45" s="1"/>
      <c r="AJ45" s="1"/>
      <c r="AN45" s="1"/>
      <c r="AR45" s="1"/>
      <c r="AV45" s="1"/>
      <c r="AZ45" s="1"/>
      <c r="BD45" s="1"/>
      <c r="BH45" s="1"/>
      <c r="BL45" s="1"/>
    </row>
    <row r="46" spans="1:67" ht="14" customHeight="1" x14ac:dyDescent="0.15">
      <c r="F46" s="1"/>
      <c r="I46" s="1"/>
      <c r="J46" s="1"/>
      <c r="K46" s="1"/>
      <c r="N46" s="1"/>
      <c r="O46" s="1"/>
      <c r="P46" s="1"/>
      <c r="Q46" s="1"/>
      <c r="R46" s="1"/>
      <c r="S46" s="1"/>
      <c r="T46" s="1"/>
      <c r="U46" s="36"/>
      <c r="V46" s="31"/>
      <c r="W46" s="1"/>
      <c r="X46" s="1"/>
      <c r="AB46" s="1"/>
      <c r="AF46" s="1"/>
      <c r="AJ46" s="1"/>
      <c r="AN46" s="1"/>
      <c r="AR46" s="1"/>
      <c r="AV46" s="1"/>
      <c r="AZ46" s="1"/>
      <c r="BD46" s="1"/>
      <c r="BH46" s="1"/>
      <c r="BL46" s="1"/>
    </row>
    <row r="47" spans="1:67" ht="14" customHeight="1" x14ac:dyDescent="0.15">
      <c r="F47" s="1"/>
      <c r="I47" s="1"/>
      <c r="J47" s="1"/>
      <c r="K47" s="1"/>
      <c r="N47" s="1"/>
      <c r="O47" s="1"/>
      <c r="P47" s="1"/>
      <c r="Q47" s="1"/>
      <c r="R47" s="1"/>
      <c r="S47" s="1"/>
      <c r="T47" s="1"/>
      <c r="U47" s="36"/>
      <c r="V47" s="31"/>
      <c r="W47" s="1"/>
      <c r="X47" s="1"/>
      <c r="AB47" s="1"/>
      <c r="AF47" s="1"/>
      <c r="AJ47" s="1"/>
      <c r="AN47" s="1"/>
      <c r="AR47" s="1"/>
      <c r="AV47" s="1"/>
      <c r="AZ47" s="1"/>
      <c r="BD47" s="1"/>
      <c r="BH47" s="1"/>
      <c r="BL47" s="1"/>
    </row>
    <row r="48" spans="1:67" ht="14" customHeight="1" x14ac:dyDescent="0.15">
      <c r="F48" s="1"/>
      <c r="I48" s="1"/>
      <c r="J48" s="1"/>
      <c r="K48" s="1"/>
      <c r="N48" s="1"/>
      <c r="O48" s="1"/>
      <c r="P48" s="1"/>
      <c r="Q48" s="1"/>
      <c r="R48" s="1"/>
      <c r="S48" s="1"/>
      <c r="T48" s="1"/>
      <c r="U48" s="36"/>
      <c r="V48" s="31"/>
      <c r="W48" s="1"/>
      <c r="X48" s="1"/>
      <c r="AB48" s="1"/>
      <c r="AF48" s="1"/>
      <c r="AJ48" s="1"/>
      <c r="AN48" s="1"/>
      <c r="AR48" s="1"/>
      <c r="AV48" s="1"/>
      <c r="AZ48" s="1"/>
      <c r="BD48" s="1"/>
      <c r="BH48" s="1"/>
      <c r="BL48" s="1"/>
    </row>
    <row r="49" spans="6:64" ht="14" customHeight="1" x14ac:dyDescent="0.15">
      <c r="F49" s="1"/>
      <c r="I49" s="1"/>
      <c r="J49" s="1"/>
      <c r="K49" s="1"/>
      <c r="N49" s="1"/>
      <c r="O49" s="1"/>
      <c r="P49" s="1"/>
      <c r="Q49" s="1"/>
      <c r="R49" s="1"/>
      <c r="S49" s="1"/>
      <c r="T49" s="1"/>
      <c r="U49" s="36"/>
      <c r="V49" s="31"/>
      <c r="W49" s="1"/>
      <c r="X49" s="1"/>
      <c r="AB49" s="1"/>
      <c r="AF49" s="1"/>
      <c r="AJ49" s="1"/>
      <c r="AN49" s="1"/>
      <c r="AR49" s="1"/>
      <c r="AV49" s="1"/>
      <c r="AZ49" s="1"/>
      <c r="BD49" s="1"/>
      <c r="BH49" s="1"/>
      <c r="BL49" s="1"/>
    </row>
    <row r="50" spans="6:64" ht="14" customHeight="1" x14ac:dyDescent="0.15">
      <c r="F50" s="1"/>
      <c r="I50" s="1"/>
      <c r="J50" s="1"/>
      <c r="K50" s="1"/>
      <c r="N50" s="1"/>
      <c r="O50" s="1"/>
      <c r="P50" s="1"/>
      <c r="Q50" s="1"/>
      <c r="R50" s="1"/>
      <c r="S50" s="1"/>
      <c r="T50" s="1"/>
      <c r="U50" s="36"/>
      <c r="V50" s="31"/>
      <c r="W50" s="1"/>
      <c r="X50" s="1"/>
      <c r="AB50" s="1"/>
      <c r="AF50" s="1"/>
      <c r="AJ50" s="1"/>
      <c r="AN50" s="1"/>
      <c r="AR50" s="1"/>
      <c r="AV50" s="1"/>
      <c r="AZ50" s="1"/>
      <c r="BD50" s="1"/>
      <c r="BH50" s="1"/>
      <c r="BL50" s="1"/>
    </row>
    <row r="51" spans="6:64" ht="14" customHeight="1" x14ac:dyDescent="0.15">
      <c r="F51" s="1"/>
      <c r="I51" s="1"/>
      <c r="J51" s="1"/>
      <c r="K51" s="1"/>
      <c r="N51" s="1"/>
      <c r="O51" s="1"/>
      <c r="P51" s="1"/>
      <c r="Q51" s="1"/>
      <c r="R51" s="1"/>
      <c r="S51" s="1"/>
      <c r="T51" s="1"/>
      <c r="U51" s="36"/>
      <c r="V51" s="31"/>
      <c r="W51" s="1"/>
      <c r="X51" s="1"/>
      <c r="AB51" s="1"/>
      <c r="AF51" s="1"/>
      <c r="AJ51" s="1"/>
      <c r="AN51" s="1"/>
      <c r="AR51" s="1"/>
      <c r="AV51" s="1"/>
      <c r="AZ51" s="1"/>
      <c r="BD51" s="1"/>
      <c r="BH51" s="1"/>
      <c r="BL51" s="1"/>
    </row>
    <row r="52" spans="6:64" ht="14" customHeight="1" x14ac:dyDescent="0.15">
      <c r="F52" s="1"/>
      <c r="I52" s="1"/>
      <c r="J52" s="1"/>
      <c r="K52" s="1"/>
      <c r="N52" s="1"/>
      <c r="O52" s="1"/>
      <c r="P52" s="1"/>
      <c r="Q52" s="1"/>
      <c r="R52" s="1"/>
      <c r="S52" s="1"/>
      <c r="T52" s="1"/>
      <c r="U52" s="36"/>
      <c r="V52" s="31"/>
      <c r="W52" s="1"/>
      <c r="X52" s="1"/>
      <c r="AB52" s="1"/>
      <c r="AF52" s="1"/>
      <c r="AJ52" s="1"/>
      <c r="AN52" s="1"/>
      <c r="AR52" s="1"/>
      <c r="AV52" s="1"/>
      <c r="AZ52" s="1"/>
      <c r="BD52" s="1"/>
      <c r="BH52" s="1"/>
      <c r="BL52" s="1"/>
    </row>
    <row r="53" spans="6:64" ht="14" customHeight="1" x14ac:dyDescent="0.15">
      <c r="F53" s="1"/>
      <c r="I53" s="1"/>
      <c r="J53" s="1"/>
      <c r="K53" s="1"/>
      <c r="N53" s="1"/>
      <c r="O53" s="1"/>
      <c r="P53" s="1"/>
      <c r="Q53" s="1"/>
      <c r="R53" s="1"/>
      <c r="S53" s="1"/>
      <c r="T53" s="1"/>
      <c r="U53" s="36"/>
      <c r="V53" s="31"/>
      <c r="W53" s="1"/>
      <c r="X53" s="1"/>
      <c r="AB53" s="1"/>
      <c r="AF53" s="1"/>
      <c r="AJ53" s="1"/>
      <c r="AN53" s="1"/>
      <c r="AR53" s="1"/>
      <c r="AV53" s="1"/>
      <c r="AZ53" s="1"/>
      <c r="BD53" s="1"/>
      <c r="BH53" s="1"/>
      <c r="BL53" s="1"/>
    </row>
    <row r="54" spans="6:64" ht="14" customHeight="1" x14ac:dyDescent="0.15">
      <c r="F54" s="1"/>
      <c r="I54" s="1"/>
      <c r="J54" s="1"/>
      <c r="K54" s="1"/>
      <c r="N54" s="1"/>
      <c r="O54" s="1"/>
      <c r="P54" s="1"/>
      <c r="Q54" s="1"/>
      <c r="R54" s="1"/>
      <c r="S54" s="1"/>
      <c r="T54" s="1"/>
      <c r="U54" s="36"/>
      <c r="V54" s="31"/>
      <c r="W54" s="1"/>
      <c r="X54" s="1"/>
      <c r="AB54" s="1"/>
      <c r="AF54" s="1"/>
      <c r="AJ54" s="1"/>
      <c r="AN54" s="1"/>
      <c r="AR54" s="1"/>
      <c r="AV54" s="1"/>
      <c r="AZ54" s="1"/>
      <c r="BD54" s="1"/>
      <c r="BH54" s="1"/>
      <c r="BL54" s="1"/>
    </row>
    <row r="55" spans="6:64" ht="14" customHeight="1" x14ac:dyDescent="0.15">
      <c r="F55" s="1"/>
      <c r="I55" s="1"/>
      <c r="J55" s="1"/>
      <c r="K55" s="1"/>
      <c r="N55" s="1"/>
      <c r="O55" s="1"/>
      <c r="P55" s="1"/>
      <c r="Q55" s="1"/>
      <c r="R55" s="1"/>
      <c r="S55" s="1"/>
      <c r="T55" s="1"/>
      <c r="U55" s="36"/>
      <c r="V55" s="31"/>
      <c r="W55" s="1"/>
      <c r="X55" s="1"/>
      <c r="AB55" s="1"/>
      <c r="AF55" s="1"/>
      <c r="AJ55" s="1"/>
      <c r="AN55" s="1"/>
      <c r="AR55" s="1"/>
      <c r="AV55" s="1"/>
      <c r="AZ55" s="1"/>
      <c r="BD55" s="1"/>
      <c r="BH55" s="1"/>
      <c r="BL55" s="1"/>
    </row>
    <row r="56" spans="6:64" ht="14" customHeight="1" x14ac:dyDescent="0.15">
      <c r="F56" s="1"/>
      <c r="I56" s="1"/>
      <c r="J56" s="1"/>
      <c r="K56" s="1"/>
      <c r="N56" s="1"/>
      <c r="O56" s="1"/>
      <c r="P56" s="1"/>
      <c r="Q56" s="1"/>
      <c r="R56" s="1"/>
      <c r="S56" s="1"/>
      <c r="T56" s="1"/>
      <c r="U56" s="36"/>
      <c r="V56" s="31"/>
      <c r="W56" s="1"/>
      <c r="X56" s="1"/>
      <c r="AB56" s="1"/>
      <c r="AF56" s="1"/>
      <c r="AJ56" s="1"/>
      <c r="AN56" s="1"/>
      <c r="AR56" s="1"/>
      <c r="AV56" s="1"/>
      <c r="AZ56" s="1"/>
      <c r="BD56" s="1"/>
      <c r="BH56" s="1"/>
      <c r="BL56" s="1"/>
    </row>
    <row r="57" spans="6:64" ht="14" customHeight="1" x14ac:dyDescent="0.15">
      <c r="F57" s="1"/>
      <c r="I57" s="1"/>
      <c r="J57" s="1"/>
      <c r="K57" s="1"/>
      <c r="N57" s="1"/>
      <c r="O57" s="1"/>
      <c r="P57" s="1"/>
      <c r="Q57" s="1"/>
      <c r="R57" s="1"/>
      <c r="S57" s="1"/>
      <c r="T57" s="1"/>
      <c r="U57" s="36"/>
      <c r="V57" s="31"/>
      <c r="W57" s="1"/>
      <c r="X57" s="1"/>
      <c r="AB57" s="1"/>
      <c r="AF57" s="1"/>
      <c r="AJ57" s="1"/>
      <c r="AN57" s="1"/>
      <c r="AR57" s="1"/>
      <c r="AV57" s="1"/>
      <c r="AZ57" s="1"/>
      <c r="BD57" s="1"/>
      <c r="BH57" s="1"/>
      <c r="BL57" s="1"/>
    </row>
    <row r="58" spans="6:64" ht="14" customHeight="1" x14ac:dyDescent="0.15">
      <c r="F58" s="1"/>
      <c r="I58" s="1"/>
      <c r="J58" s="1"/>
      <c r="K58" s="1"/>
      <c r="N58" s="1"/>
      <c r="O58" s="1"/>
      <c r="P58" s="1"/>
      <c r="Q58" s="1"/>
      <c r="R58" s="1"/>
      <c r="S58" s="1"/>
      <c r="T58" s="1"/>
      <c r="U58" s="36"/>
      <c r="V58" s="31"/>
      <c r="W58" s="1"/>
      <c r="X58" s="1"/>
      <c r="AB58" s="1"/>
      <c r="AF58" s="1"/>
      <c r="AJ58" s="1"/>
      <c r="AN58" s="1"/>
      <c r="AR58" s="1"/>
      <c r="AV58" s="1"/>
      <c r="AZ58" s="1"/>
      <c r="BD58" s="1"/>
      <c r="BH58" s="1"/>
      <c r="BL58" s="1"/>
    </row>
    <row r="59" spans="6:64" ht="14" customHeight="1" x14ac:dyDescent="0.15">
      <c r="F59" s="1"/>
      <c r="I59" s="1"/>
      <c r="J59" s="1"/>
      <c r="K59" s="1"/>
      <c r="N59" s="1"/>
      <c r="O59" s="1"/>
      <c r="P59" s="1"/>
      <c r="Q59" s="1"/>
      <c r="R59" s="1"/>
      <c r="S59" s="1"/>
      <c r="T59" s="1"/>
      <c r="U59" s="36"/>
      <c r="V59" s="31"/>
      <c r="W59" s="1"/>
      <c r="X59" s="1"/>
      <c r="AB59" s="1"/>
      <c r="AF59" s="1"/>
      <c r="AJ59" s="1"/>
      <c r="AN59" s="1"/>
      <c r="AR59" s="1"/>
      <c r="AV59" s="1"/>
      <c r="AZ59" s="1"/>
      <c r="BD59" s="1"/>
      <c r="BH59" s="1"/>
      <c r="BL59" s="1"/>
    </row>
    <row r="60" spans="6:64" ht="14" customHeight="1" x14ac:dyDescent="0.15">
      <c r="F60" s="1"/>
      <c r="I60" s="1"/>
      <c r="J60" s="1"/>
      <c r="K60" s="1"/>
      <c r="N60" s="1"/>
      <c r="O60" s="1"/>
      <c r="P60" s="1"/>
      <c r="Q60" s="1"/>
      <c r="R60" s="1"/>
      <c r="S60" s="1"/>
      <c r="T60" s="1"/>
      <c r="U60" s="36"/>
      <c r="V60" s="31"/>
      <c r="W60" s="1"/>
      <c r="X60" s="1"/>
      <c r="AB60" s="1"/>
      <c r="AF60" s="1"/>
      <c r="AJ60" s="1"/>
      <c r="AN60" s="1"/>
      <c r="AR60" s="1"/>
      <c r="AV60" s="1"/>
      <c r="AZ60" s="1"/>
      <c r="BD60" s="1"/>
      <c r="BH60" s="1"/>
      <c r="BL60" s="1"/>
    </row>
    <row r="61" spans="6:64" ht="14" customHeight="1" x14ac:dyDescent="0.15">
      <c r="F61" s="1"/>
      <c r="I61" s="1"/>
      <c r="J61" s="1"/>
      <c r="K61" s="1"/>
      <c r="N61" s="1"/>
      <c r="O61" s="1"/>
      <c r="P61" s="1"/>
      <c r="Q61" s="1"/>
      <c r="R61" s="1"/>
      <c r="S61" s="1"/>
      <c r="T61" s="1"/>
      <c r="U61" s="36"/>
      <c r="V61" s="31"/>
      <c r="W61" s="1"/>
      <c r="X61" s="1"/>
      <c r="AB61" s="1"/>
      <c r="AF61" s="1"/>
      <c r="AJ61" s="1"/>
      <c r="AN61" s="1"/>
      <c r="AR61" s="1"/>
      <c r="AV61" s="1"/>
      <c r="AZ61" s="1"/>
      <c r="BD61" s="1"/>
      <c r="BH61" s="1"/>
      <c r="BL61" s="1"/>
    </row>
    <row r="62" spans="6:64" ht="14" customHeight="1" x14ac:dyDescent="0.15">
      <c r="F62" s="1"/>
      <c r="I62" s="1"/>
      <c r="J62" s="1"/>
      <c r="K62" s="1"/>
      <c r="N62" s="1"/>
      <c r="O62" s="1"/>
      <c r="P62" s="1"/>
      <c r="Q62" s="1"/>
      <c r="R62" s="1"/>
      <c r="S62" s="1"/>
      <c r="T62" s="1"/>
      <c r="U62" s="36"/>
      <c r="V62" s="31"/>
      <c r="W62" s="1"/>
      <c r="X62" s="1"/>
      <c r="AB62" s="1"/>
      <c r="AF62" s="1"/>
      <c r="AJ62" s="1"/>
      <c r="AN62" s="1"/>
      <c r="AR62" s="1"/>
      <c r="AV62" s="1"/>
      <c r="AZ62" s="1"/>
      <c r="BD62" s="1"/>
      <c r="BH62" s="1"/>
      <c r="BL62" s="1"/>
    </row>
    <row r="63" spans="6:64" ht="14" customHeight="1" x14ac:dyDescent="0.15">
      <c r="F63" s="1"/>
      <c r="I63" s="1"/>
      <c r="J63" s="1"/>
      <c r="K63" s="1"/>
      <c r="N63" s="1"/>
      <c r="O63" s="1"/>
      <c r="P63" s="1"/>
      <c r="Q63" s="1"/>
      <c r="R63" s="1"/>
      <c r="S63" s="1"/>
      <c r="T63" s="1"/>
      <c r="U63" s="36"/>
      <c r="V63" s="31"/>
      <c r="W63" s="1"/>
      <c r="X63" s="1"/>
      <c r="AB63" s="1"/>
      <c r="AF63" s="1"/>
      <c r="AJ63" s="1"/>
      <c r="AN63" s="1"/>
      <c r="AR63" s="1"/>
      <c r="AV63" s="1"/>
      <c r="AZ63" s="1"/>
      <c r="BD63" s="1"/>
      <c r="BH63" s="1"/>
      <c r="BL63" s="1"/>
    </row>
    <row r="64" spans="6:64" ht="14" customHeight="1" x14ac:dyDescent="0.15">
      <c r="F64" s="1"/>
      <c r="I64" s="1"/>
      <c r="J64" s="1"/>
      <c r="K64" s="1"/>
      <c r="N64" s="1"/>
      <c r="O64" s="1"/>
      <c r="P64" s="1"/>
      <c r="Q64" s="1"/>
      <c r="R64" s="1"/>
      <c r="S64" s="1"/>
      <c r="T64" s="1"/>
      <c r="U64" s="36"/>
      <c r="V64" s="31"/>
      <c r="W64" s="1"/>
      <c r="X64" s="1"/>
      <c r="AB64" s="1"/>
      <c r="AF64" s="1"/>
      <c r="AJ64" s="1"/>
      <c r="AN64" s="1"/>
      <c r="AR64" s="1"/>
      <c r="AV64" s="1"/>
      <c r="AZ64" s="1"/>
      <c r="BD64" s="1"/>
      <c r="BH64" s="1"/>
      <c r="BL64" s="1"/>
    </row>
    <row r="65" spans="6:64" ht="14" customHeight="1" x14ac:dyDescent="0.15">
      <c r="F65" s="1"/>
      <c r="I65" s="1"/>
      <c r="J65" s="1"/>
      <c r="K65" s="1"/>
      <c r="N65" s="1"/>
      <c r="O65" s="1"/>
      <c r="P65" s="1"/>
      <c r="Q65" s="1"/>
      <c r="R65" s="1"/>
      <c r="S65" s="1"/>
      <c r="T65" s="1"/>
      <c r="U65" s="36"/>
      <c r="V65" s="31"/>
      <c r="W65" s="1"/>
      <c r="X65" s="1"/>
      <c r="AB65" s="1"/>
      <c r="AF65" s="1"/>
      <c r="AJ65" s="1"/>
      <c r="AN65" s="1"/>
      <c r="AR65" s="1"/>
      <c r="AV65" s="1"/>
      <c r="AZ65" s="1"/>
      <c r="BD65" s="1"/>
      <c r="BH65" s="1"/>
      <c r="BL65" s="1"/>
    </row>
    <row r="66" spans="6:64" ht="14" customHeight="1" x14ac:dyDescent="0.15">
      <c r="F66" s="1"/>
      <c r="I66" s="1"/>
      <c r="J66" s="1"/>
      <c r="K66" s="1"/>
      <c r="N66" s="1"/>
      <c r="O66" s="1"/>
      <c r="P66" s="1"/>
      <c r="Q66" s="1"/>
      <c r="R66" s="1"/>
      <c r="S66" s="1"/>
      <c r="T66" s="1"/>
      <c r="U66" s="36"/>
      <c r="V66" s="31"/>
      <c r="W66" s="1"/>
      <c r="X66" s="1"/>
      <c r="AB66" s="1"/>
      <c r="AF66" s="1"/>
      <c r="AJ66" s="1"/>
      <c r="AN66" s="1"/>
      <c r="AR66" s="1"/>
      <c r="AV66" s="1"/>
      <c r="AZ66" s="1"/>
      <c r="BD66" s="1"/>
      <c r="BH66" s="1"/>
      <c r="BL66" s="1"/>
    </row>
    <row r="67" spans="6:64" ht="14" customHeight="1" x14ac:dyDescent="0.15">
      <c r="F67" s="1"/>
      <c r="I67" s="1"/>
      <c r="J67" s="1"/>
      <c r="K67" s="1"/>
      <c r="N67" s="1"/>
      <c r="O67" s="1"/>
      <c r="P67" s="1"/>
      <c r="Q67" s="1"/>
      <c r="R67" s="1"/>
      <c r="S67" s="1"/>
      <c r="T67" s="1"/>
      <c r="U67" s="36"/>
      <c r="V67" s="31"/>
      <c r="W67" s="1"/>
      <c r="X67" s="1"/>
      <c r="AB67" s="1"/>
      <c r="AF67" s="1"/>
      <c r="AJ67" s="1"/>
      <c r="AN67" s="1"/>
      <c r="AR67" s="1"/>
      <c r="AV67" s="1"/>
      <c r="AZ67" s="1"/>
      <c r="BD67" s="1"/>
      <c r="BH67" s="1"/>
      <c r="BL67" s="1"/>
    </row>
    <row r="68" spans="6:64" ht="14" customHeight="1" x14ac:dyDescent="0.15">
      <c r="F68" s="1"/>
      <c r="I68" s="1"/>
      <c r="J68" s="1"/>
      <c r="K68" s="1"/>
      <c r="N68" s="1"/>
      <c r="O68" s="1"/>
      <c r="P68" s="1"/>
      <c r="Q68" s="1"/>
      <c r="R68" s="1"/>
      <c r="S68" s="1"/>
      <c r="T68" s="1"/>
      <c r="U68" s="36"/>
      <c r="V68" s="31"/>
      <c r="W68" s="1"/>
      <c r="X68" s="1"/>
      <c r="AB68" s="1"/>
      <c r="AF68" s="1"/>
      <c r="AJ68" s="1"/>
      <c r="AN68" s="1"/>
      <c r="AR68" s="1"/>
      <c r="AV68" s="1"/>
      <c r="AZ68" s="1"/>
      <c r="BD68" s="1"/>
      <c r="BH68" s="1"/>
      <c r="BL68" s="1"/>
    </row>
    <row r="69" spans="6:64" ht="14" customHeight="1" x14ac:dyDescent="0.15">
      <c r="F69" s="1"/>
      <c r="I69" s="1"/>
      <c r="J69" s="1"/>
      <c r="K69" s="1"/>
      <c r="N69" s="1"/>
      <c r="O69" s="1"/>
      <c r="P69" s="1"/>
      <c r="Q69" s="1"/>
      <c r="R69" s="1"/>
      <c r="S69" s="1"/>
      <c r="T69" s="1"/>
      <c r="U69" s="36"/>
      <c r="V69" s="31"/>
      <c r="W69" s="1"/>
      <c r="X69" s="1"/>
      <c r="AB69" s="1"/>
      <c r="AF69" s="1"/>
      <c r="AJ69" s="1"/>
      <c r="AN69" s="1"/>
      <c r="AR69" s="1"/>
      <c r="AV69" s="1"/>
      <c r="AZ69" s="1"/>
      <c r="BD69" s="1"/>
      <c r="BH69" s="1"/>
      <c r="BL69" s="1"/>
    </row>
    <row r="70" spans="6:64" ht="14" customHeight="1" x14ac:dyDescent="0.15">
      <c r="F70" s="1"/>
      <c r="I70" s="1"/>
      <c r="J70" s="1"/>
      <c r="K70" s="1"/>
      <c r="N70" s="1"/>
      <c r="O70" s="1"/>
      <c r="P70" s="1"/>
      <c r="Q70" s="1"/>
      <c r="R70" s="1"/>
      <c r="S70" s="1"/>
      <c r="T70" s="1"/>
      <c r="U70" s="36"/>
      <c r="V70" s="31"/>
      <c r="W70" s="1"/>
      <c r="X70" s="1"/>
      <c r="AB70" s="1"/>
      <c r="AF70" s="1"/>
      <c r="AJ70" s="1"/>
      <c r="AN70" s="1"/>
      <c r="AR70" s="1"/>
      <c r="AV70" s="1"/>
      <c r="AZ70" s="1"/>
      <c r="BD70" s="1"/>
      <c r="BH70" s="1"/>
      <c r="BL70" s="1"/>
    </row>
    <row r="71" spans="6:64" ht="14" customHeight="1" x14ac:dyDescent="0.15">
      <c r="F71" s="1"/>
      <c r="I71" s="1"/>
      <c r="J71" s="1"/>
      <c r="K71" s="1"/>
      <c r="N71" s="1"/>
      <c r="O71" s="1"/>
      <c r="P71" s="1"/>
      <c r="Q71" s="1"/>
      <c r="R71" s="1"/>
      <c r="S71" s="1"/>
      <c r="T71" s="1"/>
      <c r="U71" s="36"/>
      <c r="V71" s="31"/>
      <c r="W71" s="1"/>
      <c r="X71" s="1"/>
      <c r="AB71" s="1"/>
      <c r="AF71" s="1"/>
      <c r="AJ71" s="1"/>
      <c r="AN71" s="1"/>
      <c r="AR71" s="1"/>
      <c r="AV71" s="1"/>
      <c r="AZ71" s="1"/>
      <c r="BD71" s="1"/>
      <c r="BH71" s="1"/>
      <c r="BL71" s="1"/>
    </row>
    <row r="72" spans="6:64" ht="14" customHeight="1" x14ac:dyDescent="0.15">
      <c r="F72" s="1"/>
      <c r="I72" s="1"/>
      <c r="J72" s="1"/>
      <c r="K72" s="1"/>
      <c r="N72" s="1"/>
      <c r="O72" s="1"/>
      <c r="P72" s="1"/>
      <c r="Q72" s="1"/>
      <c r="R72" s="1"/>
      <c r="S72" s="1"/>
      <c r="T72" s="1"/>
      <c r="U72" s="36"/>
      <c r="V72" s="31"/>
      <c r="W72" s="1"/>
      <c r="X72" s="1"/>
      <c r="AB72" s="1"/>
      <c r="AF72" s="1"/>
      <c r="AJ72" s="1"/>
      <c r="AN72" s="1"/>
      <c r="AR72" s="1"/>
      <c r="AV72" s="1"/>
      <c r="AZ72" s="1"/>
      <c r="BD72" s="1"/>
      <c r="BH72" s="1"/>
      <c r="BL72" s="1"/>
    </row>
    <row r="73" spans="6:64" ht="14" customHeight="1" x14ac:dyDescent="0.15">
      <c r="F73" s="1"/>
      <c r="I73" s="1"/>
      <c r="J73" s="1"/>
      <c r="K73" s="1"/>
      <c r="N73" s="1"/>
      <c r="O73" s="1"/>
      <c r="P73" s="1"/>
      <c r="Q73" s="1"/>
      <c r="R73" s="1"/>
      <c r="S73" s="1"/>
      <c r="T73" s="1"/>
      <c r="U73" s="36"/>
      <c r="V73" s="31"/>
      <c r="W73" s="1"/>
      <c r="X73" s="1"/>
      <c r="AB73" s="1"/>
      <c r="AF73" s="1"/>
      <c r="AJ73" s="1"/>
      <c r="AN73" s="1"/>
      <c r="AR73" s="1"/>
      <c r="AV73" s="1"/>
      <c r="AZ73" s="1"/>
      <c r="BD73" s="1"/>
      <c r="BH73" s="1"/>
      <c r="BL73" s="1"/>
    </row>
    <row r="74" spans="6:64" ht="14" customHeight="1" x14ac:dyDescent="0.15">
      <c r="F74" s="1"/>
      <c r="I74" s="1"/>
      <c r="J74" s="1"/>
      <c r="K74" s="1"/>
      <c r="N74" s="1"/>
      <c r="O74" s="1"/>
      <c r="P74" s="1"/>
      <c r="Q74" s="1"/>
      <c r="R74" s="1"/>
      <c r="S74" s="1"/>
      <c r="T74" s="1"/>
      <c r="U74" s="36"/>
      <c r="V74" s="31"/>
      <c r="W74" s="1"/>
      <c r="X74" s="1"/>
      <c r="AB74" s="1"/>
      <c r="AF74" s="1"/>
      <c r="AJ74" s="1"/>
      <c r="AN74" s="1"/>
      <c r="AR74" s="1"/>
      <c r="AV74" s="1"/>
      <c r="AZ74" s="1"/>
      <c r="BD74" s="1"/>
      <c r="BH74" s="1"/>
      <c r="BL74" s="1"/>
    </row>
    <row r="75" spans="6:64" ht="14" customHeight="1" x14ac:dyDescent="0.15">
      <c r="F75" s="1"/>
      <c r="I75" s="1"/>
      <c r="J75" s="1"/>
      <c r="K75" s="1"/>
      <c r="N75" s="1"/>
      <c r="O75" s="1"/>
      <c r="P75" s="1"/>
      <c r="Q75" s="1"/>
      <c r="R75" s="1"/>
      <c r="S75" s="1"/>
      <c r="T75" s="1"/>
      <c r="U75" s="36"/>
      <c r="V75" s="31"/>
      <c r="W75" s="1"/>
      <c r="X75" s="1"/>
      <c r="AB75" s="1"/>
      <c r="AF75" s="1"/>
      <c r="AJ75" s="1"/>
      <c r="AN75" s="1"/>
      <c r="AR75" s="1"/>
      <c r="AV75" s="1"/>
      <c r="AZ75" s="1"/>
      <c r="BD75" s="1"/>
      <c r="BH75" s="1"/>
      <c r="BL75" s="1"/>
    </row>
    <row r="76" spans="6:64" ht="14" customHeight="1" x14ac:dyDescent="0.15">
      <c r="F76" s="1"/>
      <c r="I76" s="1"/>
      <c r="J76" s="1"/>
      <c r="K76" s="1"/>
      <c r="N76" s="1"/>
      <c r="O76" s="1"/>
      <c r="P76" s="1"/>
      <c r="Q76" s="1"/>
      <c r="R76" s="1"/>
      <c r="S76" s="1"/>
      <c r="T76" s="1"/>
      <c r="U76" s="36"/>
      <c r="V76" s="31"/>
      <c r="W76" s="1"/>
      <c r="X76" s="1"/>
      <c r="AB76" s="1"/>
      <c r="AF76" s="1"/>
      <c r="AJ76" s="1"/>
      <c r="AN76" s="1"/>
      <c r="AR76" s="1"/>
      <c r="AV76" s="1"/>
      <c r="AZ76" s="1"/>
      <c r="BD76" s="1"/>
      <c r="BH76" s="1"/>
      <c r="BL76" s="1"/>
    </row>
    <row r="77" spans="6:64" ht="14" customHeight="1" x14ac:dyDescent="0.15">
      <c r="F77" s="1"/>
      <c r="I77" s="1"/>
      <c r="J77" s="1"/>
      <c r="K77" s="1"/>
      <c r="N77" s="1"/>
      <c r="O77" s="1"/>
      <c r="P77" s="1"/>
      <c r="Q77" s="1"/>
      <c r="R77" s="1"/>
      <c r="S77" s="1"/>
      <c r="T77" s="1"/>
      <c r="U77" s="36"/>
      <c r="V77" s="31"/>
      <c r="W77" s="1"/>
      <c r="X77" s="1"/>
      <c r="AB77" s="1"/>
      <c r="AF77" s="1"/>
      <c r="AJ77" s="1"/>
      <c r="AN77" s="1"/>
      <c r="AR77" s="1"/>
      <c r="AV77" s="1"/>
      <c r="AZ77" s="1"/>
      <c r="BD77" s="1"/>
      <c r="BH77" s="1"/>
      <c r="BL77" s="1"/>
    </row>
    <row r="78" spans="6:64" ht="14" customHeight="1" x14ac:dyDescent="0.15">
      <c r="F78" s="1"/>
      <c r="I78" s="1"/>
      <c r="J78" s="1"/>
      <c r="K78" s="1"/>
      <c r="N78" s="1"/>
      <c r="O78" s="1"/>
      <c r="P78" s="1"/>
      <c r="Q78" s="1"/>
      <c r="R78" s="1"/>
      <c r="S78" s="1"/>
      <c r="T78" s="1"/>
      <c r="U78" s="36"/>
      <c r="V78" s="31"/>
      <c r="W78" s="1"/>
      <c r="X78" s="1"/>
      <c r="AB78" s="1"/>
      <c r="AF78" s="1"/>
      <c r="AJ78" s="1"/>
      <c r="AN78" s="1"/>
      <c r="AR78" s="1"/>
      <c r="AV78" s="1"/>
      <c r="AZ78" s="1"/>
      <c r="BD78" s="1"/>
      <c r="BH78" s="1"/>
      <c r="BL78" s="1"/>
    </row>
  </sheetData>
  <mergeCells count="12">
    <mergeCell ref="BI3:BK3"/>
    <mergeCell ref="G3:J3"/>
    <mergeCell ref="L3:O3"/>
    <mergeCell ref="S3:T3"/>
    <mergeCell ref="Y3:AA3"/>
    <mergeCell ref="AC3:AE3"/>
    <mergeCell ref="AG3:AI3"/>
    <mergeCell ref="AO3:AQ3"/>
    <mergeCell ref="AS3:AU3"/>
    <mergeCell ref="AW3:AY3"/>
    <mergeCell ref="BA3:BC3"/>
    <mergeCell ref="BE3:B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22748E-8CBB-5E4E-812B-3A9A62F314CD}">
          <x14:formula1>
            <xm:f>'do not delete'!$B$2:$B$5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73510-19BD-E84C-A2C8-32EBBC978D46}">
  <dimension ref="A1:BO78"/>
  <sheetViews>
    <sheetView zoomScale="99" workbookViewId="0">
      <pane xSplit="3" ySplit="4" topLeftCell="D5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baseColWidth="10" defaultColWidth="17.83203125" defaultRowHeight="14" customHeight="1" x14ac:dyDescent="0.15"/>
  <cols>
    <col min="1" max="1" width="49.33203125" style="1" customWidth="1"/>
    <col min="2" max="2" width="16.5" style="3" bestFit="1" customWidth="1"/>
    <col min="3" max="3" width="2.6640625" style="1" customWidth="1"/>
    <col min="4" max="4" width="11.33203125" style="36" customWidth="1"/>
    <col min="5" max="5" width="10.1640625" style="1" customWidth="1"/>
    <col min="6" max="6" width="5.1640625" style="4" customWidth="1"/>
    <col min="7" max="7" width="9.1640625" style="1" customWidth="1"/>
    <col min="8" max="8" width="10.6640625" style="31" customWidth="1"/>
    <col min="9" max="9" width="10.5" style="4" customWidth="1"/>
    <col min="10" max="10" width="11.5" style="4" customWidth="1"/>
    <col min="11" max="11" width="5.1640625" style="4" customWidth="1"/>
    <col min="12" max="12" width="9.1640625" style="1" customWidth="1"/>
    <col min="13" max="13" width="9.1640625" style="31" customWidth="1"/>
    <col min="14" max="15" width="11.83203125" style="4" customWidth="1"/>
    <col min="16" max="16" width="5.1640625" style="4" customWidth="1"/>
    <col min="17" max="17" width="14.1640625" style="4" customWidth="1"/>
    <col min="18" max="18" width="5.1640625" style="4" customWidth="1"/>
    <col min="19" max="19" width="11.1640625" style="4" customWidth="1"/>
    <col min="20" max="20" width="12.1640625" style="4" customWidth="1"/>
    <col min="21" max="21" width="5.1640625" style="32" customWidth="1"/>
    <col min="22" max="22" width="8.33203125" style="27" customWidth="1"/>
    <col min="23" max="23" width="14.1640625" style="2" customWidth="1"/>
    <col min="24" max="24" width="5.1640625" style="4" customWidth="1"/>
    <col min="25" max="27" width="14.33203125" style="4" customWidth="1"/>
    <col min="28" max="28" width="5.1640625" style="4" customWidth="1"/>
    <col min="29" max="31" width="17.83203125" style="4" customWidth="1"/>
    <col min="32" max="32" width="5.1640625" style="4" customWidth="1"/>
    <col min="33" max="35" width="17.83203125" style="1" customWidth="1"/>
    <col min="36" max="36" width="5.1640625" style="4" customWidth="1"/>
    <col min="37" max="39" width="17.83203125" style="1" customWidth="1"/>
    <col min="40" max="40" width="5.1640625" style="4" customWidth="1"/>
    <col min="41" max="43" width="17.83203125" style="1" customWidth="1"/>
    <col min="44" max="44" width="5.1640625" style="4" customWidth="1"/>
    <col min="45" max="47" width="17.83203125" style="1" customWidth="1"/>
    <col min="48" max="48" width="5.1640625" style="4" customWidth="1"/>
    <col min="49" max="51" width="17.83203125" style="1" customWidth="1"/>
    <col min="52" max="52" width="5.1640625" style="4" customWidth="1"/>
    <col min="53" max="55" width="17.83203125" style="1" customWidth="1"/>
    <col min="56" max="56" width="5.1640625" style="4" customWidth="1"/>
    <col min="57" max="59" width="17.83203125" style="1" customWidth="1"/>
    <col min="60" max="60" width="5.1640625" style="4" customWidth="1"/>
    <col min="61" max="63" width="17.83203125" style="1" customWidth="1"/>
    <col min="64" max="64" width="5.1640625" style="4" customWidth="1"/>
    <col min="65" max="65" width="17.83203125" style="1"/>
    <col min="66" max="67" width="17.83203125" style="4"/>
    <col min="68" max="16384" width="17.83203125" style="1"/>
  </cols>
  <sheetData>
    <row r="1" spans="1:67" ht="20" customHeight="1" x14ac:dyDescent="0.2">
      <c r="A1" s="6" t="s">
        <v>58</v>
      </c>
    </row>
    <row r="2" spans="1:67" ht="14" customHeight="1" x14ac:dyDescent="0.15">
      <c r="A2" s="1" t="s">
        <v>63</v>
      </c>
    </row>
    <row r="3" spans="1:67" ht="14" customHeight="1" x14ac:dyDescent="0.2">
      <c r="A3" s="39" t="s">
        <v>36</v>
      </c>
      <c r="F3" s="5"/>
      <c r="G3" s="44" t="s">
        <v>13</v>
      </c>
      <c r="H3" s="44"/>
      <c r="I3" s="45"/>
      <c r="J3" s="45"/>
      <c r="K3" s="5"/>
      <c r="L3" s="44" t="s">
        <v>17</v>
      </c>
      <c r="M3" s="44"/>
      <c r="N3" s="45"/>
      <c r="O3" s="45"/>
      <c r="P3" s="5"/>
      <c r="Q3" s="5"/>
      <c r="R3" s="5"/>
      <c r="S3" s="46" t="s">
        <v>19</v>
      </c>
      <c r="T3" s="46"/>
      <c r="U3" s="33"/>
      <c r="V3" s="28"/>
      <c r="X3" s="5"/>
      <c r="Y3" s="42" t="s">
        <v>21</v>
      </c>
      <c r="Z3" s="47"/>
      <c r="AA3" s="47"/>
      <c r="AB3" s="5"/>
      <c r="AC3" s="42" t="s">
        <v>45</v>
      </c>
      <c r="AD3" s="47"/>
      <c r="AE3" s="47"/>
      <c r="AF3" s="5"/>
      <c r="AG3" s="42" t="s">
        <v>22</v>
      </c>
      <c r="AH3" s="47"/>
      <c r="AI3" s="47"/>
      <c r="AJ3" s="5"/>
      <c r="AN3" s="5"/>
      <c r="AO3" s="42" t="s">
        <v>23</v>
      </c>
      <c r="AP3" s="43"/>
      <c r="AQ3" s="43"/>
      <c r="AR3" s="5"/>
      <c r="AS3" s="42" t="s">
        <v>24</v>
      </c>
      <c r="AT3" s="43"/>
      <c r="AU3" s="43"/>
      <c r="AV3" s="5"/>
      <c r="AW3" s="42" t="s">
        <v>37</v>
      </c>
      <c r="AX3" s="43"/>
      <c r="AY3" s="43"/>
      <c r="AZ3" s="5"/>
      <c r="BA3" s="42" t="s">
        <v>25</v>
      </c>
      <c r="BB3" s="43"/>
      <c r="BC3" s="43"/>
      <c r="BD3" s="5"/>
      <c r="BE3" s="42" t="s">
        <v>26</v>
      </c>
      <c r="BF3" s="43"/>
      <c r="BG3" s="43"/>
      <c r="BH3" s="5"/>
      <c r="BI3" s="42" t="s">
        <v>27</v>
      </c>
      <c r="BJ3" s="43"/>
      <c r="BK3" s="43"/>
      <c r="BL3" s="5"/>
    </row>
    <row r="4" spans="1:67" s="9" customFormat="1" ht="61" customHeight="1" x14ac:dyDescent="0.15">
      <c r="A4" s="7" t="s">
        <v>0</v>
      </c>
      <c r="B4" s="8"/>
      <c r="D4" s="37" t="s">
        <v>47</v>
      </c>
      <c r="E4" s="10" t="s">
        <v>14</v>
      </c>
      <c r="F4" s="11"/>
      <c r="G4" s="12" t="s">
        <v>64</v>
      </c>
      <c r="H4" s="29" t="s">
        <v>35</v>
      </c>
      <c r="I4" s="12" t="s">
        <v>38</v>
      </c>
      <c r="J4" s="12" t="s">
        <v>39</v>
      </c>
      <c r="K4" s="11"/>
      <c r="L4" s="12" t="s">
        <v>65</v>
      </c>
      <c r="M4" s="29" t="s">
        <v>35</v>
      </c>
      <c r="N4" s="12" t="s">
        <v>40</v>
      </c>
      <c r="O4" s="12" t="s">
        <v>41</v>
      </c>
      <c r="P4" s="11"/>
      <c r="Q4" s="12" t="s">
        <v>18</v>
      </c>
      <c r="R4" s="11"/>
      <c r="S4" s="12" t="s">
        <v>46</v>
      </c>
      <c r="T4" s="12" t="s">
        <v>28</v>
      </c>
      <c r="U4" s="34"/>
      <c r="V4" s="29" t="s">
        <v>30</v>
      </c>
      <c r="W4" s="13" t="s">
        <v>7</v>
      </c>
      <c r="X4" s="11"/>
      <c r="Y4" s="14" t="s">
        <v>15</v>
      </c>
      <c r="Z4" s="14" t="s">
        <v>16</v>
      </c>
      <c r="AA4" s="14" t="s">
        <v>8</v>
      </c>
      <c r="AB4" s="11"/>
      <c r="AC4" s="14" t="s">
        <v>15</v>
      </c>
      <c r="AD4" s="14" t="s">
        <v>16</v>
      </c>
      <c r="AE4" s="14" t="s">
        <v>8</v>
      </c>
      <c r="AF4" s="11"/>
      <c r="AG4" s="14" t="s">
        <v>15</v>
      </c>
      <c r="AH4" s="14" t="s">
        <v>16</v>
      </c>
      <c r="AI4" s="14" t="s">
        <v>8</v>
      </c>
      <c r="AJ4" s="11"/>
      <c r="AK4" s="14" t="s">
        <v>9</v>
      </c>
      <c r="AL4" s="14" t="s">
        <v>10</v>
      </c>
      <c r="AM4" s="14" t="s">
        <v>11</v>
      </c>
      <c r="AN4" s="11"/>
      <c r="AO4" s="14" t="s">
        <v>15</v>
      </c>
      <c r="AP4" s="14" t="s">
        <v>16</v>
      </c>
      <c r="AQ4" s="14" t="s">
        <v>8</v>
      </c>
      <c r="AR4" s="11"/>
      <c r="AS4" s="14" t="s">
        <v>15</v>
      </c>
      <c r="AT4" s="14" t="s">
        <v>16</v>
      </c>
      <c r="AU4" s="14" t="s">
        <v>8</v>
      </c>
      <c r="AV4" s="11"/>
      <c r="AW4" s="14" t="s">
        <v>15</v>
      </c>
      <c r="AX4" s="14" t="s">
        <v>16</v>
      </c>
      <c r="AY4" s="14" t="s">
        <v>8</v>
      </c>
      <c r="AZ4" s="11"/>
      <c r="BA4" s="14" t="s">
        <v>15</v>
      </c>
      <c r="BB4" s="14" t="s">
        <v>16</v>
      </c>
      <c r="BC4" s="14" t="s">
        <v>8</v>
      </c>
      <c r="BD4" s="11"/>
      <c r="BE4" s="14" t="s">
        <v>15</v>
      </c>
      <c r="BF4" s="14" t="s">
        <v>16</v>
      </c>
      <c r="BG4" s="14" t="s">
        <v>8</v>
      </c>
      <c r="BH4" s="11"/>
      <c r="BI4" s="14" t="s">
        <v>15</v>
      </c>
      <c r="BJ4" s="14" t="s">
        <v>16</v>
      </c>
      <c r="BK4" s="14" t="s">
        <v>8</v>
      </c>
      <c r="BL4" s="11"/>
      <c r="BM4" s="14" t="s">
        <v>29</v>
      </c>
      <c r="BN4" s="14" t="s">
        <v>70</v>
      </c>
      <c r="BO4" s="14" t="s">
        <v>12</v>
      </c>
    </row>
    <row r="5" spans="1:67" s="9" customFormat="1" ht="13" customHeight="1" x14ac:dyDescent="0.2">
      <c r="A5" s="15" t="s">
        <v>66</v>
      </c>
      <c r="B5" s="8">
        <v>2.7</v>
      </c>
      <c r="D5" s="38">
        <v>0</v>
      </c>
      <c r="E5" s="41">
        <f>Zero_date</f>
        <v>43831</v>
      </c>
      <c r="F5" s="16"/>
      <c r="G5" s="17" t="str">
        <f>IF(OR(I5&lt;10,ISBLANK(I6)),"",I6/I5)</f>
        <v/>
      </c>
      <c r="H5" s="40">
        <f t="shared" ref="H5:H41" si="0">IF(IF(OR(J5=0,ISBLANK(J6)),"",J6/J5)="","",IF(IF(OR(J5=0,ISBLANK(J6)),"",J6/J5)&lt;=1,"∞",Serial*(LN(2)/LN(IF(OR(J5=0,ISBLANK(J6)),"",J6/J5)))))</f>
        <v>2.5</v>
      </c>
      <c r="I5" s="16">
        <f>Initial_cases</f>
        <v>1</v>
      </c>
      <c r="J5" s="16">
        <f>SUM(I$5:I5)</f>
        <v>1</v>
      </c>
      <c r="K5" s="16"/>
      <c r="L5" s="18" t="str">
        <f ca="1">IF(OR(N5&lt;10,ISBLANK(N6)),"",N6/N5)</f>
        <v/>
      </c>
      <c r="M5" s="40" t="str">
        <f t="shared" ref="M5:M40" ca="1" si="1">IF(IF(OR(O5=0,ISBLANK(O6)),"",O6/O5)="","",IF(IF(OR(O5=0,ISBLANK(O6)),"",O6/O5)&lt;=1,"∞",Serial*(LN(2)/LN(IF(OR(O5=0,ISBLANK(O6)),"",O6/O5)))))</f>
        <v/>
      </c>
      <c r="N5" s="16">
        <f t="shared" ref="N5:N40" ca="1" si="2">IF(ISERROR(OFFSET(BM5,-Delay,0)*1),0,OFFSET(BM5,-Delay,0))</f>
        <v>0</v>
      </c>
      <c r="O5" s="16">
        <f ca="1">SUM(N$5:N5)</f>
        <v>0</v>
      </c>
      <c r="P5" s="16"/>
      <c r="Q5" s="19">
        <f ca="1">O5/J5</f>
        <v>0</v>
      </c>
      <c r="R5" s="16"/>
      <c r="S5" s="16">
        <f t="shared" ref="S5:S41" ca="1" si="3">IF(ISERROR(OFFSET(BA5,-Delay,0)+OFFSET(BB5,-Delay,0)+OFFSET(BC5,-Delay,0)),0,OFFSET(BA5,-Delay,0)+OFFSET(BB5,-Delay,0)+OFFSET(BC5,-Delay,0))</f>
        <v>0</v>
      </c>
      <c r="T5" s="19" t="str">
        <f ca="1">IF(S5=0,"",N5/S5)</f>
        <v/>
      </c>
      <c r="U5" s="35"/>
      <c r="V5" s="30">
        <f t="shared" ref="V5:V41" si="4">IF(AND(D5&gt;=Begin_lockdown,Begin_lockdown&lt;&gt;""),Ro_lockdown,IF(AND(D5&gt;=Begin_intermediate,Begin_intermediate&lt;&gt;""),Ro_intermediate,Ro_uncontrolled))</f>
        <v>2.7</v>
      </c>
      <c r="W5" s="16">
        <f t="shared" ref="W5:W41" si="5">Population-J5</f>
        <v>9999999</v>
      </c>
      <c r="X5" s="16"/>
      <c r="Y5" s="16">
        <f t="shared" ref="Y5:Y41" si="6">ROUND(I5*(1-Pct_asy-Pct_mild),0)</f>
        <v>0</v>
      </c>
      <c r="Z5" s="16">
        <f t="shared" ref="Z5:Z41" si="7">ROUND(I5*Pct_mild,0)</f>
        <v>1</v>
      </c>
      <c r="AA5" s="16">
        <f t="shared" ref="AA5:AA41" si="8">I5-Y5-Z5</f>
        <v>0</v>
      </c>
      <c r="AB5" s="16"/>
      <c r="AC5" s="16">
        <f t="shared" ref="AC5:AC41" si="9">ROUND((Population-SUM(Y5:AA5))*(Faux_severe),0)+Y5</f>
        <v>10000</v>
      </c>
      <c r="AD5" s="16">
        <f t="shared" ref="AD5:AD41" si="10">ROUND((Population-SUM(Y5:AA5))*(Faux_mild),0)+Z5</f>
        <v>250001</v>
      </c>
      <c r="AE5" s="16">
        <f t="shared" ref="AE5:AE41" si="11">Population-AC5-AD5</f>
        <v>9739999</v>
      </c>
      <c r="AF5" s="16"/>
      <c r="AG5" s="16">
        <f>ROUND(AC5*Desire_severe,0)</f>
        <v>10000</v>
      </c>
      <c r="AH5" s="16">
        <f>ROUND(AD5*Desire_mild,0)</f>
        <v>125001</v>
      </c>
      <c r="AI5" s="16">
        <f t="shared" ref="AI5" si="12">ROUND(AE5*Desire_asy,0)</f>
        <v>194800</v>
      </c>
      <c r="AJ5" s="16"/>
      <c r="AK5" s="16">
        <v>0</v>
      </c>
      <c r="AL5" s="16">
        <f t="shared" ref="AL5:AL35" si="13">ROUND(AK5*Rationed_tests,0)</f>
        <v>0</v>
      </c>
      <c r="AM5" s="16">
        <f>AK5-AL5</f>
        <v>0</v>
      </c>
      <c r="AN5" s="16"/>
      <c r="AO5" s="16">
        <f>MIN(AL5,AG5)</f>
        <v>0</v>
      </c>
      <c r="AP5" s="16">
        <f>MIN(AH5,AL5-AO5)</f>
        <v>0</v>
      </c>
      <c r="AQ5" s="16">
        <f>MIN(AI5,AL5-AO5-AP5)</f>
        <v>0</v>
      </c>
      <c r="AR5" s="16"/>
      <c r="AS5" s="16">
        <f>AG5-AO5</f>
        <v>10000</v>
      </c>
      <c r="AT5" s="16">
        <f t="shared" ref="AT5:AU20" si="14">AH5-AP5</f>
        <v>125001</v>
      </c>
      <c r="AU5" s="16">
        <f t="shared" si="14"/>
        <v>194800</v>
      </c>
      <c r="AV5" s="16"/>
      <c r="AW5" s="16">
        <f>IF(SUM($AS5:$AU5)=0,0,ROUND($AM5*AS5/SUM($AS5:$AU5),0))</f>
        <v>0</v>
      </c>
      <c r="AX5" s="16">
        <f t="shared" ref="AX5:AX41" si="15">IF(SUM($AS5:$AU5)=0,0,ROUND($AM5*AT5/SUM($AS5:$AU5),0))</f>
        <v>0</v>
      </c>
      <c r="AY5" s="16">
        <f>IF(SUM($AS5:$AU5)=0,0,MIN(AU5,AM5-AW5-AX5))</f>
        <v>0</v>
      </c>
      <c r="AZ5" s="16"/>
      <c r="BA5" s="16">
        <f>AW5+AO5</f>
        <v>0</v>
      </c>
      <c r="BB5" s="16">
        <f t="shared" ref="BB5:BC20" si="16">AX5+AP5</f>
        <v>0</v>
      </c>
      <c r="BC5" s="16">
        <f t="shared" si="16"/>
        <v>0</v>
      </c>
      <c r="BD5" s="16"/>
      <c r="BE5" s="20">
        <f>Y5/AC5</f>
        <v>0</v>
      </c>
      <c r="BF5" s="20">
        <f t="shared" ref="BF5:BG20" si="17">Z5/AD5</f>
        <v>3.9999840000639995E-6</v>
      </c>
      <c r="BG5" s="20">
        <f t="shared" si="17"/>
        <v>0</v>
      </c>
      <c r="BH5" s="16"/>
      <c r="BI5" s="16">
        <f t="shared" ref="BI5:BI40" si="18">ROUND(BA5*BE5*(1-False_negative),0)+ROUND(BA5*(1-BE5)*(False_positive),0)</f>
        <v>0</v>
      </c>
      <c r="BJ5" s="16">
        <f t="shared" ref="BJ5:BJ40" si="19">ROUND(BB5*BF5*(1-False_negative),0)+ROUND(BB5*(1-BF5)*(False_positive),0)</f>
        <v>0</v>
      </c>
      <c r="BK5" s="16">
        <f t="shared" ref="BK5:BK40" si="20">ROUND(BC5*BG5*(1-False_negative),0)+ROUND(BC5*(1-BG5)*(False_positive),0)</f>
        <v>0</v>
      </c>
      <c r="BL5" s="16"/>
      <c r="BM5" s="16">
        <f>BI5+BJ5+BK5</f>
        <v>0</v>
      </c>
      <c r="BN5" s="21"/>
      <c r="BO5" s="21"/>
    </row>
    <row r="6" spans="1:67" s="9" customFormat="1" ht="13" customHeight="1" x14ac:dyDescent="0.2">
      <c r="A6" s="15" t="s">
        <v>67</v>
      </c>
      <c r="B6" s="8">
        <v>1.4</v>
      </c>
      <c r="D6" s="38">
        <f>D5+1</f>
        <v>1</v>
      </c>
      <c r="E6" s="41">
        <f t="shared" ref="E6:E41" si="21">E5+Serial</f>
        <v>43836</v>
      </c>
      <c r="F6" s="16"/>
      <c r="G6" s="17" t="str">
        <f t="shared" ref="G6:G41" si="22">IF(OR(I6&lt;10,ISBLANK(I7)),"",I7/I6)</f>
        <v/>
      </c>
      <c r="H6" s="40">
        <f t="shared" si="0"/>
        <v>3.154648767857287</v>
      </c>
      <c r="I6" s="16">
        <f t="shared" ref="I6:I41" si="23">ROUND(W5*(1-(1-((V5*(1-J5/Population)^VLOOKUP(Cluster,Cluster_vlookup,2,0))/Population))^I5),0)</f>
        <v>3</v>
      </c>
      <c r="J6" s="16">
        <f>SUM(I$5:I6)</f>
        <v>4</v>
      </c>
      <c r="K6" s="16"/>
      <c r="L6" s="18" t="str">
        <f t="shared" ref="L6:L41" ca="1" si="24">IF(OR(N6&lt;10,ISBLANK(N7)),"",N7/N6)</f>
        <v/>
      </c>
      <c r="M6" s="40" t="str">
        <f t="shared" ca="1" si="1"/>
        <v/>
      </c>
      <c r="N6" s="16">
        <f t="shared" ca="1" si="2"/>
        <v>0</v>
      </c>
      <c r="O6" s="16">
        <f ca="1">SUM(N$5:N6)</f>
        <v>0</v>
      </c>
      <c r="P6" s="16"/>
      <c r="Q6" s="19">
        <f t="shared" ref="Q6:Q41" ca="1" si="25">O6/J6</f>
        <v>0</v>
      </c>
      <c r="R6" s="16"/>
      <c r="S6" s="16">
        <f t="shared" ca="1" si="3"/>
        <v>0</v>
      </c>
      <c r="T6" s="19" t="str">
        <f t="shared" ref="T6:T41" ca="1" si="26">IF(S6=0,"",N6/S6)</f>
        <v/>
      </c>
      <c r="U6" s="35"/>
      <c r="V6" s="30">
        <f t="shared" si="4"/>
        <v>2.7</v>
      </c>
      <c r="W6" s="16">
        <f t="shared" si="5"/>
        <v>9999996</v>
      </c>
      <c r="X6" s="16"/>
      <c r="Y6" s="16">
        <f t="shared" si="6"/>
        <v>0</v>
      </c>
      <c r="Z6" s="16">
        <f t="shared" si="7"/>
        <v>2</v>
      </c>
      <c r="AA6" s="16">
        <f t="shared" si="8"/>
        <v>1</v>
      </c>
      <c r="AB6" s="16"/>
      <c r="AC6" s="16">
        <f t="shared" si="9"/>
        <v>10000</v>
      </c>
      <c r="AD6" s="16">
        <f t="shared" si="10"/>
        <v>250002</v>
      </c>
      <c r="AE6" s="16">
        <f t="shared" si="11"/>
        <v>9739998</v>
      </c>
      <c r="AF6" s="16"/>
      <c r="AG6" s="16">
        <f>ROUND(AC6*Desire_severe*(1-SUM($BA$5:$BC5)/Population),0)</f>
        <v>10000</v>
      </c>
      <c r="AH6" s="16">
        <f>ROUND(AD6*Desire_mild*(1-SUM($BA$5:$BC5)/Population),0)</f>
        <v>125001</v>
      </c>
      <c r="AI6" s="16">
        <f>ROUND(AE6*Desire_asy*(1-SUM($BA$5:$BC5)/Population),0)</f>
        <v>194800</v>
      </c>
      <c r="AJ6" s="16"/>
      <c r="AK6" s="16">
        <f>Initial_tests</f>
        <v>1000</v>
      </c>
      <c r="AL6" s="16">
        <f t="shared" si="13"/>
        <v>750</v>
      </c>
      <c r="AM6" s="16">
        <f t="shared" ref="AM6:AM41" si="27">AK6-AL6</f>
        <v>250</v>
      </c>
      <c r="AN6" s="16"/>
      <c r="AO6" s="16">
        <f>MIN(AL6,AG6)</f>
        <v>750</v>
      </c>
      <c r="AP6" s="16">
        <f>MIN(AH6,AL6-AO6)</f>
        <v>0</v>
      </c>
      <c r="AQ6" s="16">
        <f t="shared" ref="AQ6:AQ41" si="28">MIN(AI6,AL6-AO6-AP6)</f>
        <v>0</v>
      </c>
      <c r="AR6" s="16"/>
      <c r="AS6" s="16">
        <f>AG6-AO6</f>
        <v>9250</v>
      </c>
      <c r="AT6" s="16">
        <f t="shared" si="14"/>
        <v>125001</v>
      </c>
      <c r="AU6" s="16">
        <f t="shared" si="14"/>
        <v>194800</v>
      </c>
      <c r="AV6" s="16"/>
      <c r="AW6" s="16">
        <f t="shared" ref="AW6:AW41" si="29">IF(SUM($AS6:$AU6)=0,0,ROUND($AM6*AS6/SUM($AS6:$AU6),0))</f>
        <v>7</v>
      </c>
      <c r="AX6" s="16">
        <f t="shared" si="15"/>
        <v>95</v>
      </c>
      <c r="AY6" s="16">
        <f t="shared" ref="AY6:AY41" si="30">IF(SUM($AS6:$AU6)=0,0,MIN(AU6,AM6-AW6-AX6))</f>
        <v>148</v>
      </c>
      <c r="AZ6" s="16"/>
      <c r="BA6" s="16">
        <f t="shared" ref="BA6:BC35" si="31">AW6+AO6</f>
        <v>757</v>
      </c>
      <c r="BB6" s="16">
        <f t="shared" si="16"/>
        <v>95</v>
      </c>
      <c r="BC6" s="16">
        <f t="shared" si="16"/>
        <v>148</v>
      </c>
      <c r="BD6" s="16"/>
      <c r="BE6" s="20">
        <f t="shared" ref="BE6:BG35" si="32">Y6/AC6</f>
        <v>0</v>
      </c>
      <c r="BF6" s="20">
        <f t="shared" si="17"/>
        <v>7.9999360005119954E-6</v>
      </c>
      <c r="BG6" s="20">
        <f t="shared" si="17"/>
        <v>1.0266942559947138E-7</v>
      </c>
      <c r="BH6" s="16"/>
      <c r="BI6" s="16">
        <f t="shared" si="18"/>
        <v>2</v>
      </c>
      <c r="BJ6" s="16">
        <f t="shared" si="19"/>
        <v>0</v>
      </c>
      <c r="BK6" s="16">
        <f t="shared" si="20"/>
        <v>0</v>
      </c>
      <c r="BL6" s="16"/>
      <c r="BM6" s="16">
        <f t="shared" ref="BM6:BM41" si="33">BI6+BJ6+BK6</f>
        <v>2</v>
      </c>
      <c r="BN6" s="21" t="str">
        <f>IF(BM5=0,"",BM6/BM5)</f>
        <v/>
      </c>
      <c r="BO6" s="21"/>
    </row>
    <row r="7" spans="1:67" s="9" customFormat="1" ht="13" customHeight="1" x14ac:dyDescent="0.2">
      <c r="A7" s="15" t="s">
        <v>68</v>
      </c>
      <c r="B7" s="8">
        <v>0.7</v>
      </c>
      <c r="D7" s="38">
        <f t="shared" ref="D7:D41" si="34">D6+1</f>
        <v>2</v>
      </c>
      <c r="E7" s="41">
        <f t="shared" si="21"/>
        <v>43841</v>
      </c>
      <c r="F7" s="16"/>
      <c r="G7" s="17" t="str">
        <f t="shared" si="22"/>
        <v/>
      </c>
      <c r="H7" s="40">
        <f t="shared" si="0"/>
        <v>3.3277862674154139</v>
      </c>
      <c r="I7" s="16">
        <f t="shared" si="23"/>
        <v>8</v>
      </c>
      <c r="J7" s="16">
        <f>SUM(I$5:I7)</f>
        <v>12</v>
      </c>
      <c r="K7" s="16"/>
      <c r="L7" s="18" t="str">
        <f t="shared" ca="1" si="24"/>
        <v/>
      </c>
      <c r="M7" s="40" t="str">
        <f t="shared" ca="1" si="1"/>
        <v/>
      </c>
      <c r="N7" s="16">
        <f t="shared" ca="1" si="2"/>
        <v>0</v>
      </c>
      <c r="O7" s="16">
        <f ca="1">SUM(N$5:N7)</f>
        <v>0</v>
      </c>
      <c r="P7" s="16"/>
      <c r="Q7" s="19">
        <f t="shared" ca="1" si="25"/>
        <v>0</v>
      </c>
      <c r="R7" s="16"/>
      <c r="S7" s="16">
        <f t="shared" ca="1" si="3"/>
        <v>0</v>
      </c>
      <c r="T7" s="19" t="str">
        <f t="shared" ca="1" si="26"/>
        <v/>
      </c>
      <c r="U7" s="35"/>
      <c r="V7" s="30">
        <f t="shared" si="4"/>
        <v>2.7</v>
      </c>
      <c r="W7" s="16">
        <f t="shared" si="5"/>
        <v>9999988</v>
      </c>
      <c r="X7" s="16"/>
      <c r="Y7" s="16">
        <f t="shared" si="6"/>
        <v>1</v>
      </c>
      <c r="Z7" s="16">
        <f t="shared" si="7"/>
        <v>5</v>
      </c>
      <c r="AA7" s="16">
        <f t="shared" si="8"/>
        <v>2</v>
      </c>
      <c r="AB7" s="16"/>
      <c r="AC7" s="16">
        <f t="shared" si="9"/>
        <v>10001</v>
      </c>
      <c r="AD7" s="16">
        <f t="shared" si="10"/>
        <v>250005</v>
      </c>
      <c r="AE7" s="16">
        <f t="shared" si="11"/>
        <v>9739994</v>
      </c>
      <c r="AF7" s="16"/>
      <c r="AG7" s="16">
        <f>ROUND(AC7*Desire_severe*(1-SUM($BA$5:$BC6)/Population),0)</f>
        <v>10000</v>
      </c>
      <c r="AH7" s="16">
        <f>ROUND(AD7*Desire_mild*(1-SUM($BA$5:$BC6)/Population),0)</f>
        <v>124990</v>
      </c>
      <c r="AI7" s="16">
        <f>ROUND(AE7*Desire_asy*(1-SUM($BA$5:$BC6)/Population),0)</f>
        <v>194780</v>
      </c>
      <c r="AJ7" s="16"/>
      <c r="AK7" s="16">
        <f t="shared" ref="AK7:AK41" si="35">ROUND(IF(D7&gt;=Ramp_period,MIN(Tests_max,AK6*Test_growth_rate+AK6),AK6),0)</f>
        <v>1000</v>
      </c>
      <c r="AL7" s="16">
        <f t="shared" si="13"/>
        <v>750</v>
      </c>
      <c r="AM7" s="16">
        <f t="shared" si="27"/>
        <v>250</v>
      </c>
      <c r="AN7" s="16"/>
      <c r="AO7" s="16">
        <f t="shared" ref="AO7:AO41" si="36">MIN(AL7,AG7)</f>
        <v>750</v>
      </c>
      <c r="AP7" s="16">
        <f t="shared" ref="AP7:AP41" si="37">MIN(AH7,AL7-AO7)</f>
        <v>0</v>
      </c>
      <c r="AQ7" s="16">
        <f t="shared" si="28"/>
        <v>0</v>
      </c>
      <c r="AR7" s="16"/>
      <c r="AS7" s="16">
        <f t="shared" ref="AS7:AU35" si="38">AG7-AO7</f>
        <v>9250</v>
      </c>
      <c r="AT7" s="16">
        <f t="shared" si="14"/>
        <v>124990</v>
      </c>
      <c r="AU7" s="16">
        <f t="shared" si="14"/>
        <v>194780</v>
      </c>
      <c r="AV7" s="16"/>
      <c r="AW7" s="16">
        <f t="shared" si="29"/>
        <v>7</v>
      </c>
      <c r="AX7" s="16">
        <f t="shared" si="15"/>
        <v>95</v>
      </c>
      <c r="AY7" s="16">
        <f t="shared" si="30"/>
        <v>148</v>
      </c>
      <c r="AZ7" s="16"/>
      <c r="BA7" s="16">
        <f t="shared" si="31"/>
        <v>757</v>
      </c>
      <c r="BB7" s="16">
        <f t="shared" si="16"/>
        <v>95</v>
      </c>
      <c r="BC7" s="16">
        <f t="shared" si="16"/>
        <v>148</v>
      </c>
      <c r="BD7" s="16"/>
      <c r="BE7" s="20">
        <f t="shared" si="32"/>
        <v>9.9990000999900015E-5</v>
      </c>
      <c r="BF7" s="20">
        <f t="shared" si="17"/>
        <v>1.9999600007999841E-5</v>
      </c>
      <c r="BG7" s="20">
        <f t="shared" si="17"/>
        <v>2.0533893552706502E-7</v>
      </c>
      <c r="BH7" s="16"/>
      <c r="BI7" s="16">
        <f t="shared" si="18"/>
        <v>2</v>
      </c>
      <c r="BJ7" s="16">
        <f t="shared" si="19"/>
        <v>0</v>
      </c>
      <c r="BK7" s="16">
        <f t="shared" si="20"/>
        <v>0</v>
      </c>
      <c r="BL7" s="16"/>
      <c r="BM7" s="16">
        <f t="shared" si="33"/>
        <v>2</v>
      </c>
      <c r="BN7" s="22">
        <f t="shared" ref="BN7:BN41" si="39">IF(BM6=0,"",BM7/BM6)</f>
        <v>1</v>
      </c>
      <c r="BO7" s="19">
        <f>BM7/SUM(BA7:BC7)</f>
        <v>2E-3</v>
      </c>
    </row>
    <row r="8" spans="1:67" s="9" customFormat="1" ht="13" customHeight="1" x14ac:dyDescent="0.2">
      <c r="A8" s="15" t="s">
        <v>69</v>
      </c>
      <c r="B8" s="8" t="s">
        <v>32</v>
      </c>
      <c r="D8" s="38">
        <f t="shared" si="34"/>
        <v>3</v>
      </c>
      <c r="E8" s="41">
        <f t="shared" si="21"/>
        <v>43846</v>
      </c>
      <c r="F8" s="16"/>
      <c r="G8" s="17">
        <f t="shared" si="22"/>
        <v>2.6818181818181817</v>
      </c>
      <c r="H8" s="40">
        <f t="shared" si="0"/>
        <v>3.4442473519370203</v>
      </c>
      <c r="I8" s="16">
        <f t="shared" si="23"/>
        <v>22</v>
      </c>
      <c r="J8" s="16">
        <f>SUM(I$5:I8)</f>
        <v>34</v>
      </c>
      <c r="K8" s="16"/>
      <c r="L8" s="18" t="str">
        <f t="shared" ca="1" si="24"/>
        <v/>
      </c>
      <c r="M8" s="40">
        <f t="shared" ca="1" si="1"/>
        <v>5</v>
      </c>
      <c r="N8" s="16">
        <f t="shared" ca="1" si="2"/>
        <v>2</v>
      </c>
      <c r="O8" s="16">
        <f ca="1">SUM(N$5:N8)</f>
        <v>2</v>
      </c>
      <c r="P8" s="16"/>
      <c r="Q8" s="19">
        <f t="shared" ca="1" si="25"/>
        <v>5.8823529411764705E-2</v>
      </c>
      <c r="R8" s="16"/>
      <c r="S8" s="16">
        <f t="shared" ca="1" si="3"/>
        <v>1000</v>
      </c>
      <c r="T8" s="19">
        <f t="shared" ca="1" si="26"/>
        <v>2E-3</v>
      </c>
      <c r="U8" s="35"/>
      <c r="V8" s="30">
        <f t="shared" si="4"/>
        <v>2.7</v>
      </c>
      <c r="W8" s="16">
        <f t="shared" si="5"/>
        <v>9999966</v>
      </c>
      <c r="X8" s="16"/>
      <c r="Y8" s="16">
        <f t="shared" si="6"/>
        <v>2</v>
      </c>
      <c r="Z8" s="16">
        <f t="shared" si="7"/>
        <v>13</v>
      </c>
      <c r="AA8" s="16">
        <f t="shared" si="8"/>
        <v>7</v>
      </c>
      <c r="AB8" s="16"/>
      <c r="AC8" s="16">
        <f t="shared" si="9"/>
        <v>10002</v>
      </c>
      <c r="AD8" s="16">
        <f t="shared" si="10"/>
        <v>250012</v>
      </c>
      <c r="AE8" s="16">
        <f t="shared" si="11"/>
        <v>9739986</v>
      </c>
      <c r="AF8" s="16"/>
      <c r="AG8" s="16">
        <f>ROUND(AC8*Desire_severe*(1-SUM($BA$5:$BC7)/Population),0)</f>
        <v>10000</v>
      </c>
      <c r="AH8" s="16">
        <f>ROUND(AD8*Desire_mild*(1-SUM($BA$5:$BC7)/Population),0)</f>
        <v>124981</v>
      </c>
      <c r="AI8" s="16">
        <f>ROUND(AE8*Desire_asy*(1-SUM($BA$5:$BC7)/Population),0)</f>
        <v>194761</v>
      </c>
      <c r="AJ8" s="16"/>
      <c r="AK8" s="16">
        <f t="shared" si="35"/>
        <v>1500</v>
      </c>
      <c r="AL8" s="16">
        <f t="shared" si="13"/>
        <v>1125</v>
      </c>
      <c r="AM8" s="16">
        <f t="shared" si="27"/>
        <v>375</v>
      </c>
      <c r="AN8" s="16"/>
      <c r="AO8" s="16">
        <f t="shared" si="36"/>
        <v>1125</v>
      </c>
      <c r="AP8" s="16">
        <f t="shared" si="37"/>
        <v>0</v>
      </c>
      <c r="AQ8" s="16">
        <f t="shared" si="28"/>
        <v>0</v>
      </c>
      <c r="AR8" s="16"/>
      <c r="AS8" s="16">
        <f t="shared" si="38"/>
        <v>8875</v>
      </c>
      <c r="AT8" s="16">
        <f t="shared" si="14"/>
        <v>124981</v>
      </c>
      <c r="AU8" s="16">
        <f t="shared" si="14"/>
        <v>194761</v>
      </c>
      <c r="AV8" s="16"/>
      <c r="AW8" s="16">
        <f t="shared" si="29"/>
        <v>10</v>
      </c>
      <c r="AX8" s="16">
        <f t="shared" si="15"/>
        <v>143</v>
      </c>
      <c r="AY8" s="16">
        <f t="shared" si="30"/>
        <v>222</v>
      </c>
      <c r="AZ8" s="16"/>
      <c r="BA8" s="16">
        <f t="shared" si="31"/>
        <v>1135</v>
      </c>
      <c r="BB8" s="16">
        <f t="shared" si="16"/>
        <v>143</v>
      </c>
      <c r="BC8" s="16">
        <f t="shared" si="16"/>
        <v>222</v>
      </c>
      <c r="BD8" s="16"/>
      <c r="BE8" s="20">
        <f t="shared" si="32"/>
        <v>1.9996000799840031E-4</v>
      </c>
      <c r="BF8" s="20">
        <f t="shared" si="17"/>
        <v>5.1997504119802249E-5</v>
      </c>
      <c r="BG8" s="20">
        <f t="shared" si="17"/>
        <v>7.1868686464231058E-7</v>
      </c>
      <c r="BH8" s="16"/>
      <c r="BI8" s="16">
        <f t="shared" si="18"/>
        <v>2</v>
      </c>
      <c r="BJ8" s="16">
        <f t="shared" si="19"/>
        <v>0</v>
      </c>
      <c r="BK8" s="16">
        <f t="shared" si="20"/>
        <v>0</v>
      </c>
      <c r="BL8" s="16"/>
      <c r="BM8" s="16">
        <f t="shared" si="33"/>
        <v>2</v>
      </c>
      <c r="BN8" s="22">
        <f t="shared" si="39"/>
        <v>1</v>
      </c>
      <c r="BO8" s="19">
        <f t="shared" ref="BO8:BO35" si="40">BM8/SUM(BA8:BC8)</f>
        <v>1.3333333333333333E-3</v>
      </c>
    </row>
    <row r="9" spans="1:67" s="9" customFormat="1" ht="13" customHeight="1" x14ac:dyDescent="0.15">
      <c r="B9" s="8"/>
      <c r="D9" s="38">
        <f t="shared" si="34"/>
        <v>4</v>
      </c>
      <c r="E9" s="41">
        <f t="shared" si="21"/>
        <v>43851</v>
      </c>
      <c r="F9" s="16"/>
      <c r="G9" s="17">
        <f t="shared" si="22"/>
        <v>2.6949152542372881</v>
      </c>
      <c r="H9" s="40">
        <f t="shared" si="0"/>
        <v>3.476758638000935</v>
      </c>
      <c r="I9" s="16">
        <f t="shared" si="23"/>
        <v>59</v>
      </c>
      <c r="J9" s="16">
        <f>SUM(I$5:I9)</f>
        <v>93</v>
      </c>
      <c r="K9" s="16"/>
      <c r="L9" s="18" t="str">
        <f t="shared" ca="1" si="24"/>
        <v/>
      </c>
      <c r="M9" s="40">
        <f t="shared" ca="1" si="1"/>
        <v>8.5475564567572739</v>
      </c>
      <c r="N9" s="16">
        <f t="shared" ca="1" si="2"/>
        <v>2</v>
      </c>
      <c r="O9" s="16">
        <f ca="1">SUM(N$5:N9)</f>
        <v>4</v>
      </c>
      <c r="P9" s="16"/>
      <c r="Q9" s="19">
        <f t="shared" ca="1" si="25"/>
        <v>4.3010752688172046E-2</v>
      </c>
      <c r="R9" s="16"/>
      <c r="S9" s="16">
        <f t="shared" ca="1" si="3"/>
        <v>1000</v>
      </c>
      <c r="T9" s="19">
        <f t="shared" ca="1" si="26"/>
        <v>2E-3</v>
      </c>
      <c r="U9" s="35"/>
      <c r="V9" s="30">
        <f t="shared" si="4"/>
        <v>2.7</v>
      </c>
      <c r="W9" s="16">
        <f t="shared" si="5"/>
        <v>9999907</v>
      </c>
      <c r="X9" s="16"/>
      <c r="Y9" s="16">
        <f t="shared" si="6"/>
        <v>6</v>
      </c>
      <c r="Z9" s="16">
        <f t="shared" si="7"/>
        <v>35</v>
      </c>
      <c r="AA9" s="16">
        <f t="shared" si="8"/>
        <v>18</v>
      </c>
      <c r="AB9" s="16"/>
      <c r="AC9" s="16">
        <f t="shared" si="9"/>
        <v>10006</v>
      </c>
      <c r="AD9" s="16">
        <f t="shared" si="10"/>
        <v>250034</v>
      </c>
      <c r="AE9" s="16">
        <f t="shared" si="11"/>
        <v>9739960</v>
      </c>
      <c r="AF9" s="16"/>
      <c r="AG9" s="16">
        <f>ROUND(AC9*Desire_severe*(1-SUM($BA$5:$BC8)/Population),0)</f>
        <v>10002</v>
      </c>
      <c r="AH9" s="16">
        <f>ROUND(AD9*Desire_mild*(1-SUM($BA$5:$BC8)/Population),0)</f>
        <v>124973</v>
      </c>
      <c r="AI9" s="16">
        <f>ROUND(AE9*Desire_asy*(1-SUM($BA$5:$BC8)/Population),0)</f>
        <v>194731</v>
      </c>
      <c r="AJ9" s="16"/>
      <c r="AK9" s="16">
        <f t="shared" si="35"/>
        <v>2250</v>
      </c>
      <c r="AL9" s="16">
        <f t="shared" si="13"/>
        <v>1688</v>
      </c>
      <c r="AM9" s="16">
        <f t="shared" si="27"/>
        <v>562</v>
      </c>
      <c r="AN9" s="16"/>
      <c r="AO9" s="16">
        <f t="shared" si="36"/>
        <v>1688</v>
      </c>
      <c r="AP9" s="16">
        <f t="shared" si="37"/>
        <v>0</v>
      </c>
      <c r="AQ9" s="16">
        <f t="shared" si="28"/>
        <v>0</v>
      </c>
      <c r="AR9" s="16"/>
      <c r="AS9" s="16">
        <f t="shared" si="38"/>
        <v>8314</v>
      </c>
      <c r="AT9" s="16">
        <f t="shared" si="14"/>
        <v>124973</v>
      </c>
      <c r="AU9" s="16">
        <f t="shared" si="14"/>
        <v>194731</v>
      </c>
      <c r="AV9" s="16"/>
      <c r="AW9" s="16">
        <f t="shared" si="29"/>
        <v>14</v>
      </c>
      <c r="AX9" s="16">
        <f t="shared" si="15"/>
        <v>214</v>
      </c>
      <c r="AY9" s="16">
        <f t="shared" si="30"/>
        <v>334</v>
      </c>
      <c r="AZ9" s="16"/>
      <c r="BA9" s="16">
        <f t="shared" si="31"/>
        <v>1702</v>
      </c>
      <c r="BB9" s="16">
        <f t="shared" si="16"/>
        <v>214</v>
      </c>
      <c r="BC9" s="16">
        <f t="shared" si="16"/>
        <v>334</v>
      </c>
      <c r="BD9" s="16"/>
      <c r="BE9" s="20">
        <f t="shared" si="32"/>
        <v>5.9964021587047766E-4</v>
      </c>
      <c r="BF9" s="20">
        <f t="shared" si="17"/>
        <v>1.3998096258908789E-4</v>
      </c>
      <c r="BG9" s="20">
        <f t="shared" si="17"/>
        <v>1.8480568708701063E-6</v>
      </c>
      <c r="BH9" s="16"/>
      <c r="BI9" s="16">
        <f t="shared" si="18"/>
        <v>4</v>
      </c>
      <c r="BJ9" s="16">
        <f t="shared" si="19"/>
        <v>0</v>
      </c>
      <c r="BK9" s="16">
        <f t="shared" si="20"/>
        <v>1</v>
      </c>
      <c r="BL9" s="16"/>
      <c r="BM9" s="16">
        <f t="shared" si="33"/>
        <v>5</v>
      </c>
      <c r="BN9" s="22">
        <f t="shared" si="39"/>
        <v>2.5</v>
      </c>
      <c r="BO9" s="19">
        <f t="shared" si="40"/>
        <v>2.2222222222222222E-3</v>
      </c>
    </row>
    <row r="10" spans="1:67" s="9" customFormat="1" ht="13" customHeight="1" x14ac:dyDescent="0.15">
      <c r="A10" s="15" t="s">
        <v>60</v>
      </c>
      <c r="B10" s="8">
        <v>11</v>
      </c>
      <c r="D10" s="38">
        <f t="shared" si="34"/>
        <v>5</v>
      </c>
      <c r="E10" s="41">
        <f t="shared" si="21"/>
        <v>43856</v>
      </c>
      <c r="F10" s="16"/>
      <c r="G10" s="17">
        <f t="shared" si="22"/>
        <v>2.6981132075471699</v>
      </c>
      <c r="H10" s="40">
        <f t="shared" si="0"/>
        <v>3.486188609156029</v>
      </c>
      <c r="I10" s="16">
        <f t="shared" si="23"/>
        <v>159</v>
      </c>
      <c r="J10" s="16">
        <f>SUM(I$5:I10)</f>
        <v>252</v>
      </c>
      <c r="K10" s="16"/>
      <c r="L10" s="18" t="str">
        <f t="shared" ca="1" si="24"/>
        <v/>
      </c>
      <c r="M10" s="40">
        <f t="shared" ca="1" si="1"/>
        <v>5.7177548040975932</v>
      </c>
      <c r="N10" s="16">
        <f t="shared" ca="1" si="2"/>
        <v>2</v>
      </c>
      <c r="O10" s="16">
        <f ca="1">SUM(N$5:N10)</f>
        <v>6</v>
      </c>
      <c r="P10" s="16"/>
      <c r="Q10" s="19">
        <f t="shared" ca="1" si="25"/>
        <v>2.3809523809523808E-2</v>
      </c>
      <c r="R10" s="16"/>
      <c r="S10" s="16">
        <f t="shared" ca="1" si="3"/>
        <v>1500</v>
      </c>
      <c r="T10" s="19">
        <f t="shared" ca="1" si="26"/>
        <v>1.3333333333333333E-3</v>
      </c>
      <c r="U10" s="35"/>
      <c r="V10" s="30">
        <f t="shared" si="4"/>
        <v>2.7</v>
      </c>
      <c r="W10" s="16">
        <f t="shared" si="5"/>
        <v>9999748</v>
      </c>
      <c r="X10" s="16"/>
      <c r="Y10" s="16">
        <f t="shared" si="6"/>
        <v>16</v>
      </c>
      <c r="Z10" s="16">
        <f t="shared" si="7"/>
        <v>95</v>
      </c>
      <c r="AA10" s="16">
        <f t="shared" si="8"/>
        <v>48</v>
      </c>
      <c r="AB10" s="16"/>
      <c r="AC10" s="16">
        <f t="shared" si="9"/>
        <v>10016</v>
      </c>
      <c r="AD10" s="16">
        <f t="shared" si="10"/>
        <v>250091</v>
      </c>
      <c r="AE10" s="16">
        <f t="shared" si="11"/>
        <v>9739893</v>
      </c>
      <c r="AF10" s="16"/>
      <c r="AG10" s="16">
        <f>ROUND(AC10*Desire_severe*(1-SUM($BA$5:$BC9)/Population),0)</f>
        <v>10010</v>
      </c>
      <c r="AH10" s="16">
        <f>ROUND(AD10*Desire_mild*(1-SUM($BA$5:$BC9)/Population),0)</f>
        <v>124974</v>
      </c>
      <c r="AI10" s="16">
        <f>ROUND(AE10*Desire_asy*(1-SUM($BA$5:$BC9)/Population),0)</f>
        <v>194686</v>
      </c>
      <c r="AJ10" s="16"/>
      <c r="AK10" s="16">
        <f t="shared" si="35"/>
        <v>3375</v>
      </c>
      <c r="AL10" s="16">
        <f t="shared" si="13"/>
        <v>2531</v>
      </c>
      <c r="AM10" s="16">
        <f t="shared" si="27"/>
        <v>844</v>
      </c>
      <c r="AN10" s="16"/>
      <c r="AO10" s="16">
        <f t="shared" si="36"/>
        <v>2531</v>
      </c>
      <c r="AP10" s="16">
        <f t="shared" si="37"/>
        <v>0</v>
      </c>
      <c r="AQ10" s="16">
        <f t="shared" si="28"/>
        <v>0</v>
      </c>
      <c r="AR10" s="16"/>
      <c r="AS10" s="16">
        <f t="shared" si="38"/>
        <v>7479</v>
      </c>
      <c r="AT10" s="16">
        <f t="shared" si="14"/>
        <v>124974</v>
      </c>
      <c r="AU10" s="16">
        <f t="shared" si="14"/>
        <v>194686</v>
      </c>
      <c r="AV10" s="16"/>
      <c r="AW10" s="16">
        <f t="shared" si="29"/>
        <v>19</v>
      </c>
      <c r="AX10" s="16">
        <f t="shared" si="15"/>
        <v>322</v>
      </c>
      <c r="AY10" s="16">
        <f t="shared" si="30"/>
        <v>503</v>
      </c>
      <c r="AZ10" s="16"/>
      <c r="BA10" s="16">
        <f t="shared" si="31"/>
        <v>2550</v>
      </c>
      <c r="BB10" s="16">
        <f t="shared" si="16"/>
        <v>322</v>
      </c>
      <c r="BC10" s="16">
        <f t="shared" si="16"/>
        <v>503</v>
      </c>
      <c r="BD10" s="16"/>
      <c r="BE10" s="20">
        <f t="shared" si="32"/>
        <v>1.5974440894568689E-3</v>
      </c>
      <c r="BF10" s="20">
        <f t="shared" si="17"/>
        <v>3.7986173033015985E-4</v>
      </c>
      <c r="BG10" s="20">
        <f t="shared" si="17"/>
        <v>4.928185556042556E-6</v>
      </c>
      <c r="BH10" s="16"/>
      <c r="BI10" s="16">
        <f t="shared" si="18"/>
        <v>8</v>
      </c>
      <c r="BJ10" s="16">
        <f t="shared" si="19"/>
        <v>1</v>
      </c>
      <c r="BK10" s="16">
        <f t="shared" si="20"/>
        <v>1</v>
      </c>
      <c r="BL10" s="16"/>
      <c r="BM10" s="16">
        <f t="shared" si="33"/>
        <v>10</v>
      </c>
      <c r="BN10" s="22">
        <f t="shared" si="39"/>
        <v>2</v>
      </c>
      <c r="BO10" s="19">
        <f t="shared" si="40"/>
        <v>2.9629629629629628E-3</v>
      </c>
    </row>
    <row r="11" spans="1:67" s="9" customFormat="1" ht="13" customHeight="1" x14ac:dyDescent="0.15">
      <c r="A11" s="15" t="s">
        <v>61</v>
      </c>
      <c r="B11" s="8">
        <v>15</v>
      </c>
      <c r="D11" s="38">
        <f t="shared" si="34"/>
        <v>6</v>
      </c>
      <c r="E11" s="41">
        <f t="shared" si="21"/>
        <v>43861</v>
      </c>
      <c r="F11" s="16"/>
      <c r="G11" s="17">
        <f t="shared" si="22"/>
        <v>2.6993006993006992</v>
      </c>
      <c r="H11" s="40">
        <f t="shared" si="0"/>
        <v>3.4887093382797691</v>
      </c>
      <c r="I11" s="16">
        <f t="shared" si="23"/>
        <v>429</v>
      </c>
      <c r="J11" s="16">
        <f>SUM(I$5:I11)</f>
        <v>681</v>
      </c>
      <c r="K11" s="16"/>
      <c r="L11" s="18" t="str">
        <f t="shared" ca="1" si="24"/>
        <v/>
      </c>
      <c r="M11" s="40">
        <f t="shared" ca="1" si="1"/>
        <v>5.3597128156554072</v>
      </c>
      <c r="N11" s="16">
        <f t="shared" ca="1" si="2"/>
        <v>5</v>
      </c>
      <c r="O11" s="16">
        <f ca="1">SUM(N$5:N11)</f>
        <v>11</v>
      </c>
      <c r="P11" s="16"/>
      <c r="Q11" s="19">
        <f t="shared" ca="1" si="25"/>
        <v>1.6152716593245228E-2</v>
      </c>
      <c r="R11" s="16"/>
      <c r="S11" s="16">
        <f t="shared" ca="1" si="3"/>
        <v>2250</v>
      </c>
      <c r="T11" s="19">
        <f t="shared" ca="1" si="26"/>
        <v>2.2222222222222222E-3</v>
      </c>
      <c r="U11" s="35"/>
      <c r="V11" s="30">
        <f t="shared" si="4"/>
        <v>2.7</v>
      </c>
      <c r="W11" s="16">
        <f t="shared" si="5"/>
        <v>9999319</v>
      </c>
      <c r="X11" s="16"/>
      <c r="Y11" s="16">
        <f t="shared" si="6"/>
        <v>43</v>
      </c>
      <c r="Z11" s="16">
        <f t="shared" si="7"/>
        <v>257</v>
      </c>
      <c r="AA11" s="16">
        <f t="shared" si="8"/>
        <v>129</v>
      </c>
      <c r="AB11" s="16"/>
      <c r="AC11" s="16">
        <f t="shared" si="9"/>
        <v>10043</v>
      </c>
      <c r="AD11" s="16">
        <f t="shared" si="10"/>
        <v>250246</v>
      </c>
      <c r="AE11" s="16">
        <f t="shared" si="11"/>
        <v>9739711</v>
      </c>
      <c r="AF11" s="16"/>
      <c r="AG11" s="16">
        <f>ROUND(AC11*Desire_severe*(1-SUM($BA$5:$BC10)/Population),0)</f>
        <v>10034</v>
      </c>
      <c r="AH11" s="16">
        <f>ROUND(AD11*Desire_mild*(1-SUM($BA$5:$BC10)/Population),0)</f>
        <v>125009</v>
      </c>
      <c r="AI11" s="16">
        <f>ROUND(AE11*Desire_asy*(1-SUM($BA$5:$BC10)/Population),0)</f>
        <v>194616</v>
      </c>
      <c r="AJ11" s="16"/>
      <c r="AK11" s="16">
        <f t="shared" si="35"/>
        <v>5063</v>
      </c>
      <c r="AL11" s="16">
        <f t="shared" si="13"/>
        <v>3797</v>
      </c>
      <c r="AM11" s="16">
        <f t="shared" si="27"/>
        <v>1266</v>
      </c>
      <c r="AN11" s="16"/>
      <c r="AO11" s="16">
        <f t="shared" si="36"/>
        <v>3797</v>
      </c>
      <c r="AP11" s="16">
        <f t="shared" si="37"/>
        <v>0</v>
      </c>
      <c r="AQ11" s="16">
        <f t="shared" si="28"/>
        <v>0</v>
      </c>
      <c r="AR11" s="16"/>
      <c r="AS11" s="16">
        <f t="shared" si="38"/>
        <v>6237</v>
      </c>
      <c r="AT11" s="16">
        <f t="shared" si="14"/>
        <v>125009</v>
      </c>
      <c r="AU11" s="16">
        <f t="shared" si="14"/>
        <v>194616</v>
      </c>
      <c r="AV11" s="16"/>
      <c r="AW11" s="16">
        <f t="shared" si="29"/>
        <v>24</v>
      </c>
      <c r="AX11" s="16">
        <f t="shared" si="15"/>
        <v>486</v>
      </c>
      <c r="AY11" s="16">
        <f t="shared" si="30"/>
        <v>756</v>
      </c>
      <c r="AZ11" s="16"/>
      <c r="BA11" s="16">
        <f t="shared" si="31"/>
        <v>3821</v>
      </c>
      <c r="BB11" s="16">
        <f t="shared" si="16"/>
        <v>486</v>
      </c>
      <c r="BC11" s="16">
        <f t="shared" si="16"/>
        <v>756</v>
      </c>
      <c r="BD11" s="16"/>
      <c r="BE11" s="20">
        <f t="shared" si="32"/>
        <v>4.2815891665836901E-3</v>
      </c>
      <c r="BF11" s="20">
        <f t="shared" si="17"/>
        <v>1.0269894423886896E-3</v>
      </c>
      <c r="BG11" s="20">
        <f t="shared" si="17"/>
        <v>1.3244746173680102E-5</v>
      </c>
      <c r="BH11" s="16"/>
      <c r="BI11" s="16">
        <f t="shared" si="18"/>
        <v>21</v>
      </c>
      <c r="BJ11" s="16">
        <f t="shared" si="19"/>
        <v>1</v>
      </c>
      <c r="BK11" s="16">
        <f t="shared" si="20"/>
        <v>2</v>
      </c>
      <c r="BL11" s="16"/>
      <c r="BM11" s="16">
        <f t="shared" si="33"/>
        <v>24</v>
      </c>
      <c r="BN11" s="22">
        <f t="shared" si="39"/>
        <v>2.4</v>
      </c>
      <c r="BO11" s="19">
        <f t="shared" si="40"/>
        <v>4.7402725656725264E-3</v>
      </c>
    </row>
    <row r="12" spans="1:67" s="9" customFormat="1" ht="13" customHeight="1" x14ac:dyDescent="0.15">
      <c r="A12" s="15"/>
      <c r="B12" s="8"/>
      <c r="D12" s="38">
        <f t="shared" si="34"/>
        <v>7</v>
      </c>
      <c r="E12" s="41">
        <f t="shared" si="21"/>
        <v>43866</v>
      </c>
      <c r="F12" s="16"/>
      <c r="G12" s="17">
        <f t="shared" si="22"/>
        <v>2.6986183074265977</v>
      </c>
      <c r="H12" s="40">
        <f t="shared" si="0"/>
        <v>3.4902024955056548</v>
      </c>
      <c r="I12" s="16">
        <f t="shared" si="23"/>
        <v>1158</v>
      </c>
      <c r="J12" s="16">
        <f>SUM(I$5:I12)</f>
        <v>1839</v>
      </c>
      <c r="K12" s="16"/>
      <c r="L12" s="18">
        <f t="shared" ca="1" si="24"/>
        <v>2.4</v>
      </c>
      <c r="M12" s="40">
        <f t="shared" ca="1" si="1"/>
        <v>4.5473740600454224</v>
      </c>
      <c r="N12" s="16">
        <f t="shared" ca="1" si="2"/>
        <v>10</v>
      </c>
      <c r="O12" s="16">
        <f ca="1">SUM(N$5:N12)</f>
        <v>21</v>
      </c>
      <c r="P12" s="16"/>
      <c r="Q12" s="19">
        <f t="shared" ca="1" si="25"/>
        <v>1.1419249592169658E-2</v>
      </c>
      <c r="R12" s="16"/>
      <c r="S12" s="16">
        <f t="shared" ca="1" si="3"/>
        <v>3375</v>
      </c>
      <c r="T12" s="19">
        <f t="shared" ca="1" si="26"/>
        <v>2.9629629629629628E-3</v>
      </c>
      <c r="U12" s="35"/>
      <c r="V12" s="30">
        <f t="shared" si="4"/>
        <v>2.7</v>
      </c>
      <c r="W12" s="16">
        <f t="shared" si="5"/>
        <v>9998161</v>
      </c>
      <c r="X12" s="16"/>
      <c r="Y12" s="16">
        <f t="shared" si="6"/>
        <v>116</v>
      </c>
      <c r="Z12" s="16">
        <f t="shared" si="7"/>
        <v>695</v>
      </c>
      <c r="AA12" s="16">
        <f t="shared" si="8"/>
        <v>347</v>
      </c>
      <c r="AB12" s="16"/>
      <c r="AC12" s="16">
        <f t="shared" si="9"/>
        <v>10115</v>
      </c>
      <c r="AD12" s="16">
        <f t="shared" si="10"/>
        <v>250666</v>
      </c>
      <c r="AE12" s="16">
        <f t="shared" si="11"/>
        <v>9739219</v>
      </c>
      <c r="AF12" s="16"/>
      <c r="AG12" s="16">
        <f>ROUND(AC12*Desire_severe*(1-SUM($BA$5:$BC11)/Population),0)</f>
        <v>10101</v>
      </c>
      <c r="AH12" s="16">
        <f>ROUND(AD12*Desire_mild*(1-SUM($BA$5:$BC11)/Population),0)</f>
        <v>125155</v>
      </c>
      <c r="AI12" s="16">
        <f>ROUND(AE12*Desire_asy*(1-SUM($BA$5:$BC11)/Population),0)</f>
        <v>194508</v>
      </c>
      <c r="AJ12" s="16"/>
      <c r="AK12" s="16">
        <f t="shared" si="35"/>
        <v>7595</v>
      </c>
      <c r="AL12" s="16">
        <f t="shared" si="13"/>
        <v>5696</v>
      </c>
      <c r="AM12" s="16">
        <f t="shared" si="27"/>
        <v>1899</v>
      </c>
      <c r="AN12" s="16"/>
      <c r="AO12" s="16">
        <f t="shared" si="36"/>
        <v>5696</v>
      </c>
      <c r="AP12" s="16">
        <f t="shared" si="37"/>
        <v>0</v>
      </c>
      <c r="AQ12" s="16">
        <f t="shared" si="28"/>
        <v>0</v>
      </c>
      <c r="AR12" s="16"/>
      <c r="AS12" s="16">
        <f t="shared" si="38"/>
        <v>4405</v>
      </c>
      <c r="AT12" s="16">
        <f t="shared" si="14"/>
        <v>125155</v>
      </c>
      <c r="AU12" s="16">
        <f t="shared" si="14"/>
        <v>194508</v>
      </c>
      <c r="AV12" s="16"/>
      <c r="AW12" s="16">
        <f t="shared" si="29"/>
        <v>26</v>
      </c>
      <c r="AX12" s="16">
        <f t="shared" si="15"/>
        <v>733</v>
      </c>
      <c r="AY12" s="16">
        <f t="shared" si="30"/>
        <v>1140</v>
      </c>
      <c r="AZ12" s="16"/>
      <c r="BA12" s="16">
        <f t="shared" si="31"/>
        <v>5722</v>
      </c>
      <c r="BB12" s="16">
        <f t="shared" si="16"/>
        <v>733</v>
      </c>
      <c r="BC12" s="16">
        <f t="shared" si="16"/>
        <v>1140</v>
      </c>
      <c r="BD12" s="16"/>
      <c r="BE12" s="20">
        <f t="shared" si="32"/>
        <v>1.1468116658428076E-2</v>
      </c>
      <c r="BF12" s="20">
        <f t="shared" si="17"/>
        <v>2.7726137569514813E-3</v>
      </c>
      <c r="BG12" s="20">
        <f t="shared" si="17"/>
        <v>3.5629140283219835E-5</v>
      </c>
      <c r="BH12" s="16"/>
      <c r="BI12" s="16">
        <f t="shared" si="18"/>
        <v>63</v>
      </c>
      <c r="BJ12" s="16">
        <f t="shared" si="19"/>
        <v>3</v>
      </c>
      <c r="BK12" s="16">
        <f t="shared" si="20"/>
        <v>2</v>
      </c>
      <c r="BL12" s="16"/>
      <c r="BM12" s="16">
        <f t="shared" si="33"/>
        <v>68</v>
      </c>
      <c r="BN12" s="22">
        <f t="shared" si="39"/>
        <v>2.8333333333333335</v>
      </c>
      <c r="BO12" s="19">
        <f t="shared" si="40"/>
        <v>8.953258722843976E-3</v>
      </c>
    </row>
    <row r="13" spans="1:67" s="9" customFormat="1" ht="13" customHeight="1" x14ac:dyDescent="0.15">
      <c r="A13" s="15" t="s">
        <v>42</v>
      </c>
      <c r="B13" s="23">
        <v>0.3</v>
      </c>
      <c r="D13" s="38">
        <f t="shared" si="34"/>
        <v>8</v>
      </c>
      <c r="E13" s="41">
        <f t="shared" si="21"/>
        <v>43871</v>
      </c>
      <c r="F13" s="16"/>
      <c r="G13" s="17">
        <f t="shared" si="22"/>
        <v>2.6969599999999998</v>
      </c>
      <c r="H13" s="40">
        <f t="shared" si="0"/>
        <v>3.4921165862883559</v>
      </c>
      <c r="I13" s="16">
        <f t="shared" si="23"/>
        <v>3125</v>
      </c>
      <c r="J13" s="16">
        <f>SUM(I$5:I13)</f>
        <v>4964</v>
      </c>
      <c r="K13" s="16" t="s">
        <v>62</v>
      </c>
      <c r="L13" s="18">
        <f t="shared" ca="1" si="24"/>
        <v>2.8333333333333335</v>
      </c>
      <c r="M13" s="40">
        <f t="shared" ca="1" si="1"/>
        <v>3.7641365930294377</v>
      </c>
      <c r="N13" s="16">
        <f t="shared" ca="1" si="2"/>
        <v>24</v>
      </c>
      <c r="O13" s="16">
        <f ca="1">SUM(N$5:N13)</f>
        <v>45</v>
      </c>
      <c r="P13" s="16"/>
      <c r="Q13" s="19">
        <f t="shared" ca="1" si="25"/>
        <v>9.0652699435938757E-3</v>
      </c>
      <c r="R13" s="16"/>
      <c r="S13" s="16">
        <f t="shared" ca="1" si="3"/>
        <v>5063</v>
      </c>
      <c r="T13" s="19">
        <f t="shared" ca="1" si="26"/>
        <v>4.7402725656725264E-3</v>
      </c>
      <c r="U13" s="35"/>
      <c r="V13" s="30">
        <f t="shared" si="4"/>
        <v>2.7</v>
      </c>
      <c r="W13" s="16">
        <f t="shared" si="5"/>
        <v>9995036</v>
      </c>
      <c r="X13" s="16"/>
      <c r="Y13" s="16">
        <f t="shared" si="6"/>
        <v>313</v>
      </c>
      <c r="Z13" s="16">
        <f t="shared" si="7"/>
        <v>1875</v>
      </c>
      <c r="AA13" s="16">
        <f t="shared" si="8"/>
        <v>937</v>
      </c>
      <c r="AB13" s="16"/>
      <c r="AC13" s="16">
        <f t="shared" si="9"/>
        <v>10310</v>
      </c>
      <c r="AD13" s="16">
        <f t="shared" si="10"/>
        <v>251797</v>
      </c>
      <c r="AE13" s="16">
        <f t="shared" si="11"/>
        <v>9737893</v>
      </c>
      <c r="AF13" s="16"/>
      <c r="AG13" s="16">
        <f>ROUND(AC13*Desire_severe*(1-SUM($BA$5:$BC12)/Population),0)</f>
        <v>10288</v>
      </c>
      <c r="AH13" s="16">
        <f>ROUND(AD13*Desire_mild*(1-SUM($BA$5:$BC12)/Population),0)</f>
        <v>125624</v>
      </c>
      <c r="AI13" s="16">
        <f>ROUND(AE13*Desire_asy*(1-SUM($BA$5:$BC12)/Population),0)</f>
        <v>194334</v>
      </c>
      <c r="AJ13" s="16"/>
      <c r="AK13" s="16">
        <f t="shared" si="35"/>
        <v>11393</v>
      </c>
      <c r="AL13" s="16">
        <f t="shared" si="13"/>
        <v>8545</v>
      </c>
      <c r="AM13" s="16">
        <f t="shared" si="27"/>
        <v>2848</v>
      </c>
      <c r="AN13" s="16"/>
      <c r="AO13" s="16">
        <f t="shared" si="36"/>
        <v>8545</v>
      </c>
      <c r="AP13" s="16">
        <f t="shared" si="37"/>
        <v>0</v>
      </c>
      <c r="AQ13" s="16">
        <f t="shared" si="28"/>
        <v>0</v>
      </c>
      <c r="AR13" s="16"/>
      <c r="AS13" s="16">
        <f t="shared" si="38"/>
        <v>1743</v>
      </c>
      <c r="AT13" s="16">
        <f t="shared" si="14"/>
        <v>125624</v>
      </c>
      <c r="AU13" s="16">
        <f t="shared" si="14"/>
        <v>194334</v>
      </c>
      <c r="AV13" s="16"/>
      <c r="AW13" s="16">
        <f t="shared" si="29"/>
        <v>15</v>
      </c>
      <c r="AX13" s="16">
        <f t="shared" si="15"/>
        <v>1112</v>
      </c>
      <c r="AY13" s="16">
        <f t="shared" si="30"/>
        <v>1721</v>
      </c>
      <c r="AZ13" s="16"/>
      <c r="BA13" s="16">
        <f t="shared" si="31"/>
        <v>8560</v>
      </c>
      <c r="BB13" s="16">
        <f t="shared" si="16"/>
        <v>1112</v>
      </c>
      <c r="BC13" s="16">
        <f t="shared" si="16"/>
        <v>1721</v>
      </c>
      <c r="BD13" s="16"/>
      <c r="BE13" s="20">
        <f t="shared" si="32"/>
        <v>3.0358874878758487E-2</v>
      </c>
      <c r="BF13" s="20">
        <f t="shared" si="17"/>
        <v>7.4464747395719564E-3</v>
      </c>
      <c r="BG13" s="20">
        <f t="shared" si="17"/>
        <v>9.6222047212882707E-5</v>
      </c>
      <c r="BH13" s="16"/>
      <c r="BI13" s="16">
        <f t="shared" si="18"/>
        <v>225</v>
      </c>
      <c r="BJ13" s="16">
        <f t="shared" si="19"/>
        <v>9</v>
      </c>
      <c r="BK13" s="16">
        <f t="shared" si="20"/>
        <v>3</v>
      </c>
      <c r="BL13" s="16"/>
      <c r="BM13" s="16">
        <f t="shared" si="33"/>
        <v>237</v>
      </c>
      <c r="BN13" s="22">
        <f t="shared" si="39"/>
        <v>3.4852941176470589</v>
      </c>
      <c r="BO13" s="19">
        <f t="shared" si="40"/>
        <v>2.0802246993768102E-2</v>
      </c>
    </row>
    <row r="14" spans="1:67" s="9" customFormat="1" ht="13" customHeight="1" x14ac:dyDescent="0.15">
      <c r="A14" s="15" t="s">
        <v>2</v>
      </c>
      <c r="B14" s="23">
        <v>0.6</v>
      </c>
      <c r="D14" s="38">
        <f t="shared" si="34"/>
        <v>9</v>
      </c>
      <c r="E14" s="41">
        <f t="shared" si="21"/>
        <v>43876</v>
      </c>
      <c r="F14" s="16"/>
      <c r="G14" s="17">
        <f t="shared" si="22"/>
        <v>2.6915045087802563</v>
      </c>
      <c r="H14" s="40">
        <f t="shared" si="0"/>
        <v>3.4973155763405481</v>
      </c>
      <c r="I14" s="16">
        <f t="shared" si="23"/>
        <v>8428</v>
      </c>
      <c r="J14" s="16">
        <f>SUM(I$5:I14)</f>
        <v>13392</v>
      </c>
      <c r="K14" s="16"/>
      <c r="L14" s="18">
        <f t="shared" ca="1" si="24"/>
        <v>3.4852941176470589</v>
      </c>
      <c r="M14" s="40">
        <f t="shared" ca="1" si="1"/>
        <v>3.0655434975863467</v>
      </c>
      <c r="N14" s="16">
        <f t="shared" ca="1" si="2"/>
        <v>68</v>
      </c>
      <c r="O14" s="16">
        <f ca="1">SUM(N$5:N14)</f>
        <v>113</v>
      </c>
      <c r="P14" s="16"/>
      <c r="Q14" s="19">
        <f t="shared" ca="1" si="25"/>
        <v>8.4378733572281952E-3</v>
      </c>
      <c r="R14" s="16"/>
      <c r="S14" s="16">
        <f t="shared" ca="1" si="3"/>
        <v>7595</v>
      </c>
      <c r="T14" s="19">
        <f t="shared" ca="1" si="26"/>
        <v>8.953258722843976E-3</v>
      </c>
      <c r="U14" s="35"/>
      <c r="V14" s="30">
        <f t="shared" si="4"/>
        <v>2.7</v>
      </c>
      <c r="W14" s="16">
        <f t="shared" si="5"/>
        <v>9986608</v>
      </c>
      <c r="X14" s="16"/>
      <c r="Y14" s="16">
        <f t="shared" si="6"/>
        <v>843</v>
      </c>
      <c r="Z14" s="16">
        <f t="shared" si="7"/>
        <v>5057</v>
      </c>
      <c r="AA14" s="16">
        <f t="shared" si="8"/>
        <v>2528</v>
      </c>
      <c r="AB14" s="16"/>
      <c r="AC14" s="16">
        <f t="shared" si="9"/>
        <v>10835</v>
      </c>
      <c r="AD14" s="16">
        <f t="shared" si="10"/>
        <v>254846</v>
      </c>
      <c r="AE14" s="16">
        <f t="shared" si="11"/>
        <v>9734319</v>
      </c>
      <c r="AF14" s="16"/>
      <c r="AG14" s="16">
        <f>ROUND(AC14*Desire_severe*(1-SUM($BA$5:$BC13)/Population),0)</f>
        <v>10799</v>
      </c>
      <c r="AH14" s="16">
        <f>ROUND(AD14*Desire_mild*(1-SUM($BA$5:$BC13)/Population),0)</f>
        <v>127000</v>
      </c>
      <c r="AI14" s="16">
        <f>ROUND(AE14*Desire_asy*(1-SUM($BA$5:$BC13)/Population),0)</f>
        <v>194040</v>
      </c>
      <c r="AJ14" s="16"/>
      <c r="AK14" s="16">
        <f t="shared" si="35"/>
        <v>17090</v>
      </c>
      <c r="AL14" s="16">
        <f t="shared" si="13"/>
        <v>12818</v>
      </c>
      <c r="AM14" s="16">
        <f t="shared" si="27"/>
        <v>4272</v>
      </c>
      <c r="AN14" s="16"/>
      <c r="AO14" s="16">
        <f t="shared" si="36"/>
        <v>10799</v>
      </c>
      <c r="AP14" s="16">
        <f t="shared" si="37"/>
        <v>2019</v>
      </c>
      <c r="AQ14" s="16">
        <f t="shared" si="28"/>
        <v>0</v>
      </c>
      <c r="AR14" s="16"/>
      <c r="AS14" s="16">
        <f t="shared" si="38"/>
        <v>0</v>
      </c>
      <c r="AT14" s="16">
        <f t="shared" si="14"/>
        <v>124981</v>
      </c>
      <c r="AU14" s="16">
        <f t="shared" si="14"/>
        <v>194040</v>
      </c>
      <c r="AV14" s="16"/>
      <c r="AW14" s="16">
        <f t="shared" si="29"/>
        <v>0</v>
      </c>
      <c r="AX14" s="16">
        <f t="shared" si="15"/>
        <v>1674</v>
      </c>
      <c r="AY14" s="16">
        <f t="shared" si="30"/>
        <v>2598</v>
      </c>
      <c r="AZ14" s="16"/>
      <c r="BA14" s="16">
        <f t="shared" si="31"/>
        <v>10799</v>
      </c>
      <c r="BB14" s="16">
        <f t="shared" si="16"/>
        <v>3693</v>
      </c>
      <c r="BC14" s="16">
        <f t="shared" si="16"/>
        <v>2598</v>
      </c>
      <c r="BD14" s="16"/>
      <c r="BE14" s="20">
        <f t="shared" si="32"/>
        <v>7.7803414859252421E-2</v>
      </c>
      <c r="BF14" s="20">
        <f t="shared" si="17"/>
        <v>1.9843356379931409E-2</v>
      </c>
      <c r="BG14" s="20">
        <f t="shared" si="17"/>
        <v>2.596997283528514E-4</v>
      </c>
      <c r="BH14" s="16"/>
      <c r="BI14" s="16">
        <f t="shared" si="18"/>
        <v>692</v>
      </c>
      <c r="BJ14" s="16">
        <f t="shared" si="19"/>
        <v>66</v>
      </c>
      <c r="BK14" s="16">
        <f t="shared" si="20"/>
        <v>6</v>
      </c>
      <c r="BL14" s="16"/>
      <c r="BM14" s="16">
        <f t="shared" si="33"/>
        <v>764</v>
      </c>
      <c r="BN14" s="22">
        <f t="shared" si="39"/>
        <v>3.2236286919831225</v>
      </c>
      <c r="BO14" s="19">
        <f t="shared" si="40"/>
        <v>4.4704505558806319E-2</v>
      </c>
    </row>
    <row r="15" spans="1:67" s="9" customFormat="1" ht="13" customHeight="1" x14ac:dyDescent="0.15">
      <c r="A15" s="15"/>
      <c r="B15" s="8"/>
      <c r="D15" s="38">
        <f t="shared" si="34"/>
        <v>10</v>
      </c>
      <c r="E15" s="41">
        <f t="shared" si="21"/>
        <v>43881</v>
      </c>
      <c r="F15" s="16"/>
      <c r="G15" s="17">
        <f t="shared" si="22"/>
        <v>2.6772174219714335</v>
      </c>
      <c r="H15" s="40">
        <f t="shared" si="0"/>
        <v>3.5110952097812742</v>
      </c>
      <c r="I15" s="16">
        <f t="shared" si="23"/>
        <v>22684</v>
      </c>
      <c r="J15" s="16">
        <f>SUM(I$5:I15)</f>
        <v>36076</v>
      </c>
      <c r="K15" s="16"/>
      <c r="L15" s="18">
        <f t="shared" ca="1" si="24"/>
        <v>3.2236286919831225</v>
      </c>
      <c r="M15" s="40">
        <f t="shared" ca="1" si="1"/>
        <v>2.9934340720767763</v>
      </c>
      <c r="N15" s="16">
        <f t="shared" ca="1" si="2"/>
        <v>237</v>
      </c>
      <c r="O15" s="16">
        <f ca="1">SUM(N$5:N15)</f>
        <v>350</v>
      </c>
      <c r="P15" s="16"/>
      <c r="Q15" s="19">
        <f t="shared" ca="1" si="25"/>
        <v>9.7017407694866397E-3</v>
      </c>
      <c r="R15" s="16"/>
      <c r="S15" s="16">
        <f t="shared" ca="1" si="3"/>
        <v>11393</v>
      </c>
      <c r="T15" s="19">
        <f t="shared" ca="1" si="26"/>
        <v>2.0802246993768102E-2</v>
      </c>
      <c r="U15" s="35"/>
      <c r="V15" s="30">
        <f t="shared" si="4"/>
        <v>2.7</v>
      </c>
      <c r="W15" s="16">
        <f t="shared" si="5"/>
        <v>9963924</v>
      </c>
      <c r="X15" s="16"/>
      <c r="Y15" s="16">
        <f t="shared" si="6"/>
        <v>2268</v>
      </c>
      <c r="Z15" s="16">
        <f t="shared" si="7"/>
        <v>13610</v>
      </c>
      <c r="AA15" s="16">
        <f t="shared" si="8"/>
        <v>6806</v>
      </c>
      <c r="AB15" s="16"/>
      <c r="AC15" s="16">
        <f t="shared" si="9"/>
        <v>12245</v>
      </c>
      <c r="AD15" s="16">
        <f t="shared" si="10"/>
        <v>263043</v>
      </c>
      <c r="AE15" s="16">
        <f t="shared" si="11"/>
        <v>9724712</v>
      </c>
      <c r="AF15" s="16"/>
      <c r="AG15" s="16">
        <f>ROUND(AC15*Desire_severe*(1-SUM($BA$5:$BC14)/Population),0)</f>
        <v>12183</v>
      </c>
      <c r="AH15" s="16">
        <f>ROUND(AD15*Desire_mild*(1-SUM($BA$5:$BC14)/Population),0)</f>
        <v>130860</v>
      </c>
      <c r="AI15" s="16">
        <f>ROUND(AE15*Desire_asy*(1-SUM($BA$5:$BC14)/Population),0)</f>
        <v>193517</v>
      </c>
      <c r="AJ15" s="16"/>
      <c r="AK15" s="16">
        <f t="shared" si="35"/>
        <v>25635</v>
      </c>
      <c r="AL15" s="16">
        <f t="shared" si="13"/>
        <v>19226</v>
      </c>
      <c r="AM15" s="16">
        <f t="shared" si="27"/>
        <v>6409</v>
      </c>
      <c r="AN15" s="16"/>
      <c r="AO15" s="16">
        <f t="shared" si="36"/>
        <v>12183</v>
      </c>
      <c r="AP15" s="16">
        <f t="shared" si="37"/>
        <v>7043</v>
      </c>
      <c r="AQ15" s="16">
        <f t="shared" si="28"/>
        <v>0</v>
      </c>
      <c r="AR15" s="16"/>
      <c r="AS15" s="16">
        <f t="shared" si="38"/>
        <v>0</v>
      </c>
      <c r="AT15" s="16">
        <f t="shared" si="14"/>
        <v>123817</v>
      </c>
      <c r="AU15" s="16">
        <f t="shared" si="14"/>
        <v>193517</v>
      </c>
      <c r="AV15" s="16"/>
      <c r="AW15" s="16">
        <f t="shared" si="29"/>
        <v>0</v>
      </c>
      <c r="AX15" s="16">
        <f t="shared" si="15"/>
        <v>2501</v>
      </c>
      <c r="AY15" s="16">
        <f t="shared" si="30"/>
        <v>3908</v>
      </c>
      <c r="AZ15" s="16"/>
      <c r="BA15" s="16">
        <f t="shared" si="31"/>
        <v>12183</v>
      </c>
      <c r="BB15" s="16">
        <f t="shared" si="16"/>
        <v>9544</v>
      </c>
      <c r="BC15" s="16">
        <f t="shared" si="16"/>
        <v>3908</v>
      </c>
      <c r="BD15" s="16"/>
      <c r="BE15" s="20">
        <f t="shared" si="32"/>
        <v>0.18521845651286239</v>
      </c>
      <c r="BF15" s="20">
        <f t="shared" si="17"/>
        <v>5.1740589941568486E-2</v>
      </c>
      <c r="BG15" s="20">
        <f t="shared" si="17"/>
        <v>6.9986648447789503E-4</v>
      </c>
      <c r="BH15" s="16"/>
      <c r="BI15" s="16">
        <f t="shared" si="18"/>
        <v>1825</v>
      </c>
      <c r="BJ15" s="16">
        <f t="shared" si="19"/>
        <v>413</v>
      </c>
      <c r="BK15" s="16">
        <f t="shared" si="20"/>
        <v>10</v>
      </c>
      <c r="BL15" s="16"/>
      <c r="BM15" s="16">
        <f t="shared" si="33"/>
        <v>2248</v>
      </c>
      <c r="BN15" s="22">
        <f t="shared" si="39"/>
        <v>2.9424083769633507</v>
      </c>
      <c r="BO15" s="19">
        <f t="shared" si="40"/>
        <v>8.7692607762824268E-2</v>
      </c>
    </row>
    <row r="16" spans="1:67" s="9" customFormat="1" ht="13" customHeight="1" x14ac:dyDescent="0.15">
      <c r="A16" s="15" t="s">
        <v>55</v>
      </c>
      <c r="B16" s="24">
        <v>43831</v>
      </c>
      <c r="D16" s="38">
        <f t="shared" si="34"/>
        <v>11</v>
      </c>
      <c r="E16" s="41">
        <f t="shared" si="21"/>
        <v>43886</v>
      </c>
      <c r="F16" s="16"/>
      <c r="G16" s="17">
        <f t="shared" si="22"/>
        <v>1.3739008727152973</v>
      </c>
      <c r="H16" s="40">
        <f t="shared" si="0"/>
        <v>5.5755354353773878</v>
      </c>
      <c r="I16" s="16">
        <f t="shared" si="23"/>
        <v>60730</v>
      </c>
      <c r="J16" s="16">
        <f>SUM(I$5:I16)</f>
        <v>96806</v>
      </c>
      <c r="K16" s="16"/>
      <c r="L16" s="18">
        <f t="shared" ca="1" si="24"/>
        <v>2.9424083769633507</v>
      </c>
      <c r="M16" s="40">
        <f t="shared" ca="1" si="1"/>
        <v>3.1376082987396869</v>
      </c>
      <c r="N16" s="16">
        <f t="shared" ca="1" si="2"/>
        <v>764</v>
      </c>
      <c r="O16" s="16">
        <f ca="1">SUM(N$5:N16)</f>
        <v>1114</v>
      </c>
      <c r="P16" s="16"/>
      <c r="Q16" s="19">
        <f t="shared" ca="1" si="25"/>
        <v>1.1507551184843914E-2</v>
      </c>
      <c r="R16" s="16"/>
      <c r="S16" s="16">
        <f t="shared" ca="1" si="3"/>
        <v>17090</v>
      </c>
      <c r="T16" s="19">
        <f t="shared" ca="1" si="26"/>
        <v>4.4704505558806319E-2</v>
      </c>
      <c r="U16" s="35"/>
      <c r="V16" s="30">
        <f t="shared" si="4"/>
        <v>1.4</v>
      </c>
      <c r="W16" s="16">
        <f t="shared" si="5"/>
        <v>9903194</v>
      </c>
      <c r="X16" s="16"/>
      <c r="Y16" s="16">
        <f t="shared" si="6"/>
        <v>6073</v>
      </c>
      <c r="Z16" s="16">
        <f t="shared" si="7"/>
        <v>36438</v>
      </c>
      <c r="AA16" s="16">
        <f t="shared" si="8"/>
        <v>18219</v>
      </c>
      <c r="AB16" s="16"/>
      <c r="AC16" s="16">
        <f t="shared" si="9"/>
        <v>16012</v>
      </c>
      <c r="AD16" s="16">
        <f t="shared" si="10"/>
        <v>284920</v>
      </c>
      <c r="AE16" s="16">
        <f t="shared" si="11"/>
        <v>9699068</v>
      </c>
      <c r="AF16" s="16"/>
      <c r="AG16" s="16">
        <f>ROUND(AC16*Desire_severe*(1-SUM($BA$5:$BC15)/Population),0)</f>
        <v>15890</v>
      </c>
      <c r="AH16" s="16">
        <f>ROUND(AD16*Desire_mild*(1-SUM($BA$5:$BC15)/Population),0)</f>
        <v>141379</v>
      </c>
      <c r="AI16" s="16">
        <f>ROUND(AE16*Desire_asy*(1-SUM($BA$5:$BC15)/Population),0)</f>
        <v>192509</v>
      </c>
      <c r="AJ16" s="16"/>
      <c r="AK16" s="16">
        <f t="shared" si="35"/>
        <v>38453</v>
      </c>
      <c r="AL16" s="16">
        <f t="shared" si="13"/>
        <v>28840</v>
      </c>
      <c r="AM16" s="16">
        <f t="shared" si="27"/>
        <v>9613</v>
      </c>
      <c r="AN16" s="16"/>
      <c r="AO16" s="16">
        <f t="shared" si="36"/>
        <v>15890</v>
      </c>
      <c r="AP16" s="16">
        <f t="shared" si="37"/>
        <v>12950</v>
      </c>
      <c r="AQ16" s="16">
        <f t="shared" si="28"/>
        <v>0</v>
      </c>
      <c r="AR16" s="16"/>
      <c r="AS16" s="16">
        <f t="shared" si="38"/>
        <v>0</v>
      </c>
      <c r="AT16" s="16">
        <f t="shared" si="14"/>
        <v>128429</v>
      </c>
      <c r="AU16" s="16">
        <f t="shared" si="14"/>
        <v>192509</v>
      </c>
      <c r="AV16" s="16"/>
      <c r="AW16" s="16">
        <f t="shared" si="29"/>
        <v>0</v>
      </c>
      <c r="AX16" s="16">
        <f t="shared" si="15"/>
        <v>3847</v>
      </c>
      <c r="AY16" s="16">
        <f t="shared" si="30"/>
        <v>5766</v>
      </c>
      <c r="AZ16" s="16"/>
      <c r="BA16" s="16">
        <f t="shared" si="31"/>
        <v>15890</v>
      </c>
      <c r="BB16" s="16">
        <f t="shared" si="16"/>
        <v>16797</v>
      </c>
      <c r="BC16" s="16">
        <f t="shared" si="16"/>
        <v>5766</v>
      </c>
      <c r="BD16" s="16"/>
      <c r="BE16" s="20">
        <f t="shared" si="32"/>
        <v>0.37927804146889832</v>
      </c>
      <c r="BF16" s="20">
        <f t="shared" si="17"/>
        <v>0.12788853011371612</v>
      </c>
      <c r="BG16" s="20">
        <f t="shared" si="17"/>
        <v>1.8784279066813431E-3</v>
      </c>
      <c r="BH16" s="16"/>
      <c r="BI16" s="16">
        <f t="shared" si="18"/>
        <v>4841</v>
      </c>
      <c r="BJ16" s="16">
        <f t="shared" si="19"/>
        <v>1748</v>
      </c>
      <c r="BK16" s="16">
        <f t="shared" si="20"/>
        <v>21</v>
      </c>
      <c r="BL16" s="16"/>
      <c r="BM16" s="16">
        <f t="shared" si="33"/>
        <v>6610</v>
      </c>
      <c r="BN16" s="22">
        <f t="shared" si="39"/>
        <v>2.9403914590747333</v>
      </c>
      <c r="BO16" s="19">
        <f t="shared" si="40"/>
        <v>0.17189816139182898</v>
      </c>
    </row>
    <row r="17" spans="1:67" s="9" customFormat="1" ht="13" customHeight="1" x14ac:dyDescent="0.15">
      <c r="A17" s="15" t="s">
        <v>59</v>
      </c>
      <c r="B17" s="8">
        <v>5</v>
      </c>
      <c r="D17" s="38">
        <f t="shared" si="34"/>
        <v>12</v>
      </c>
      <c r="E17" s="41">
        <f t="shared" si="21"/>
        <v>43891</v>
      </c>
      <c r="F17" s="16"/>
      <c r="G17" s="17">
        <f t="shared" si="22"/>
        <v>1.3544710380286924</v>
      </c>
      <c r="H17" s="40">
        <f t="shared" si="0"/>
        <v>7.1203021148272816</v>
      </c>
      <c r="I17" s="16">
        <f t="shared" si="23"/>
        <v>83437</v>
      </c>
      <c r="J17" s="16">
        <f>SUM(I$5:I17)</f>
        <v>180243</v>
      </c>
      <c r="K17" s="16"/>
      <c r="L17" s="18">
        <f t="shared" ca="1" si="24"/>
        <v>2.9403914590747333</v>
      </c>
      <c r="M17" s="40">
        <f t="shared" ca="1" si="1"/>
        <v>3.1876306501813758</v>
      </c>
      <c r="N17" s="16">
        <f t="shared" ca="1" si="2"/>
        <v>2248</v>
      </c>
      <c r="O17" s="16">
        <f ca="1">SUM(N$5:N17)</f>
        <v>3362</v>
      </c>
      <c r="P17" s="16"/>
      <c r="Q17" s="19">
        <f t="shared" ca="1" si="25"/>
        <v>1.8652596772135394E-2</v>
      </c>
      <c r="R17" s="16"/>
      <c r="S17" s="16">
        <f t="shared" ca="1" si="3"/>
        <v>25635</v>
      </c>
      <c r="T17" s="19">
        <f t="shared" ca="1" si="26"/>
        <v>8.7692607762824268E-2</v>
      </c>
      <c r="U17" s="35"/>
      <c r="V17" s="30">
        <f t="shared" si="4"/>
        <v>1.4</v>
      </c>
      <c r="W17" s="16">
        <f t="shared" si="5"/>
        <v>9819757</v>
      </c>
      <c r="X17" s="16"/>
      <c r="Y17" s="16">
        <f t="shared" si="6"/>
        <v>8344</v>
      </c>
      <c r="Z17" s="16">
        <f t="shared" si="7"/>
        <v>50062</v>
      </c>
      <c r="AA17" s="16">
        <f t="shared" si="8"/>
        <v>25031</v>
      </c>
      <c r="AB17" s="16"/>
      <c r="AC17" s="16">
        <f t="shared" si="9"/>
        <v>18261</v>
      </c>
      <c r="AD17" s="16">
        <f t="shared" si="10"/>
        <v>297976</v>
      </c>
      <c r="AE17" s="16">
        <f t="shared" si="11"/>
        <v>9683763</v>
      </c>
      <c r="AF17" s="16"/>
      <c r="AG17" s="16">
        <f>ROUND(AC17*Desire_severe*(1-SUM($BA$5:$BC16)/Population),0)</f>
        <v>18052</v>
      </c>
      <c r="AH17" s="16">
        <f>ROUND(AD17*Desire_mild*(1-SUM($BA$5:$BC16)/Population),0)</f>
        <v>147284</v>
      </c>
      <c r="AI17" s="16">
        <f>ROUND(AE17*Desire_asy*(1-SUM($BA$5:$BC16)/Population),0)</f>
        <v>191461</v>
      </c>
      <c r="AJ17" s="16"/>
      <c r="AK17" s="16">
        <f t="shared" si="35"/>
        <v>57680</v>
      </c>
      <c r="AL17" s="16">
        <f t="shared" si="13"/>
        <v>43260</v>
      </c>
      <c r="AM17" s="16">
        <f t="shared" si="27"/>
        <v>14420</v>
      </c>
      <c r="AN17" s="16"/>
      <c r="AO17" s="16">
        <f t="shared" si="36"/>
        <v>18052</v>
      </c>
      <c r="AP17" s="16">
        <f t="shared" si="37"/>
        <v>25208</v>
      </c>
      <c r="AQ17" s="16">
        <f t="shared" si="28"/>
        <v>0</v>
      </c>
      <c r="AR17" s="16"/>
      <c r="AS17" s="16">
        <f t="shared" si="38"/>
        <v>0</v>
      </c>
      <c r="AT17" s="16">
        <f t="shared" si="14"/>
        <v>122076</v>
      </c>
      <c r="AU17" s="16">
        <f t="shared" si="14"/>
        <v>191461</v>
      </c>
      <c r="AV17" s="16"/>
      <c r="AW17" s="16">
        <f t="shared" si="29"/>
        <v>0</v>
      </c>
      <c r="AX17" s="16">
        <f t="shared" si="15"/>
        <v>5614</v>
      </c>
      <c r="AY17" s="16">
        <f t="shared" si="30"/>
        <v>8806</v>
      </c>
      <c r="AZ17" s="16"/>
      <c r="BA17" s="16">
        <f t="shared" si="31"/>
        <v>18052</v>
      </c>
      <c r="BB17" s="16">
        <f t="shared" si="16"/>
        <v>30822</v>
      </c>
      <c r="BC17" s="16">
        <f t="shared" si="16"/>
        <v>8806</v>
      </c>
      <c r="BD17" s="16"/>
      <c r="BE17" s="20">
        <f t="shared" si="32"/>
        <v>0.45693006954712229</v>
      </c>
      <c r="BF17" s="20">
        <f t="shared" si="17"/>
        <v>0.16800681934115499</v>
      </c>
      <c r="BG17" s="20">
        <f t="shared" si="17"/>
        <v>2.584842276705863E-3</v>
      </c>
      <c r="BH17" s="16"/>
      <c r="BI17" s="16">
        <f t="shared" si="18"/>
        <v>6619</v>
      </c>
      <c r="BJ17" s="16">
        <f t="shared" si="19"/>
        <v>4194</v>
      </c>
      <c r="BK17" s="16">
        <f t="shared" si="20"/>
        <v>36</v>
      </c>
      <c r="BL17" s="16"/>
      <c r="BM17" s="16">
        <f t="shared" si="33"/>
        <v>10849</v>
      </c>
      <c r="BN17" s="22">
        <f t="shared" si="39"/>
        <v>1.6413010590015129</v>
      </c>
      <c r="BO17" s="19">
        <f t="shared" si="40"/>
        <v>0.18808945908460473</v>
      </c>
    </row>
    <row r="18" spans="1:67" s="9" customFormat="1" ht="13" customHeight="1" x14ac:dyDescent="0.15">
      <c r="B18" s="8"/>
      <c r="D18" s="38">
        <f t="shared" si="34"/>
        <v>13</v>
      </c>
      <c r="E18" s="41">
        <f t="shared" si="21"/>
        <v>43896</v>
      </c>
      <c r="F18" s="16"/>
      <c r="G18" s="17">
        <f t="shared" si="22"/>
        <v>1.3284931822002779</v>
      </c>
      <c r="H18" s="40">
        <f t="shared" si="0"/>
        <v>8.3832785590259675</v>
      </c>
      <c r="I18" s="16">
        <f t="shared" si="23"/>
        <v>113013</v>
      </c>
      <c r="J18" s="16">
        <f>SUM(I$5:I18)</f>
        <v>293256</v>
      </c>
      <c r="K18" s="16"/>
      <c r="L18" s="18">
        <f t="shared" ca="1" si="24"/>
        <v>1.6413010590015129</v>
      </c>
      <c r="M18" s="40">
        <f t="shared" ca="1" si="1"/>
        <v>4.7077230272683472</v>
      </c>
      <c r="N18" s="16">
        <f t="shared" ca="1" si="2"/>
        <v>6610</v>
      </c>
      <c r="O18" s="16">
        <f ca="1">SUM(N$5:N18)</f>
        <v>9972</v>
      </c>
      <c r="P18" s="16"/>
      <c r="Q18" s="19">
        <f t="shared" ca="1" si="25"/>
        <v>3.4004419346918731E-2</v>
      </c>
      <c r="R18" s="16"/>
      <c r="S18" s="16">
        <f t="shared" ca="1" si="3"/>
        <v>38453</v>
      </c>
      <c r="T18" s="19">
        <f t="shared" ca="1" si="26"/>
        <v>0.17189816139182898</v>
      </c>
      <c r="U18" s="35"/>
      <c r="V18" s="30">
        <f t="shared" si="4"/>
        <v>1.4</v>
      </c>
      <c r="W18" s="16">
        <f t="shared" si="5"/>
        <v>9706744</v>
      </c>
      <c r="X18" s="16"/>
      <c r="Y18" s="16">
        <f t="shared" si="6"/>
        <v>11301</v>
      </c>
      <c r="Z18" s="16">
        <f t="shared" si="7"/>
        <v>67808</v>
      </c>
      <c r="AA18" s="16">
        <f t="shared" si="8"/>
        <v>33904</v>
      </c>
      <c r="AB18" s="16"/>
      <c r="AC18" s="16">
        <f t="shared" si="9"/>
        <v>21188</v>
      </c>
      <c r="AD18" s="16">
        <f t="shared" si="10"/>
        <v>314983</v>
      </c>
      <c r="AE18" s="16">
        <f t="shared" si="11"/>
        <v>9663829</v>
      </c>
      <c r="AF18" s="16"/>
      <c r="AG18" s="16">
        <f>ROUND(AC18*Desire_severe*(1-SUM($BA$5:$BC17)/Population),0)</f>
        <v>20823</v>
      </c>
      <c r="AH18" s="16">
        <f>ROUND(AD18*Desire_mild*(1-SUM($BA$5:$BC17)/Population),0)</f>
        <v>154782</v>
      </c>
      <c r="AI18" s="16">
        <f>ROUND(AE18*Desire_asy*(1-SUM($BA$5:$BC17)/Population),0)</f>
        <v>189952</v>
      </c>
      <c r="AJ18" s="16"/>
      <c r="AK18" s="16">
        <f t="shared" si="35"/>
        <v>86520</v>
      </c>
      <c r="AL18" s="16">
        <f t="shared" si="13"/>
        <v>64890</v>
      </c>
      <c r="AM18" s="16">
        <f t="shared" si="27"/>
        <v>21630</v>
      </c>
      <c r="AN18" s="16"/>
      <c r="AO18" s="16">
        <f t="shared" si="36"/>
        <v>20823</v>
      </c>
      <c r="AP18" s="16">
        <f t="shared" si="37"/>
        <v>44067</v>
      </c>
      <c r="AQ18" s="16">
        <f t="shared" si="28"/>
        <v>0</v>
      </c>
      <c r="AR18" s="16"/>
      <c r="AS18" s="16">
        <f t="shared" si="38"/>
        <v>0</v>
      </c>
      <c r="AT18" s="16">
        <f t="shared" si="14"/>
        <v>110715</v>
      </c>
      <c r="AU18" s="16">
        <f t="shared" si="14"/>
        <v>189952</v>
      </c>
      <c r="AV18" s="16"/>
      <c r="AW18" s="16">
        <f t="shared" si="29"/>
        <v>0</v>
      </c>
      <c r="AX18" s="16">
        <f t="shared" si="15"/>
        <v>7965</v>
      </c>
      <c r="AY18" s="16">
        <f t="shared" si="30"/>
        <v>13665</v>
      </c>
      <c r="AZ18" s="16"/>
      <c r="BA18" s="16">
        <f t="shared" si="31"/>
        <v>20823</v>
      </c>
      <c r="BB18" s="16">
        <f t="shared" si="16"/>
        <v>52032</v>
      </c>
      <c r="BC18" s="16">
        <f t="shared" si="16"/>
        <v>13665</v>
      </c>
      <c r="BD18" s="16"/>
      <c r="BE18" s="20">
        <f t="shared" si="32"/>
        <v>0.53336794411931276</v>
      </c>
      <c r="BF18" s="20">
        <f t="shared" si="17"/>
        <v>0.2152751100853062</v>
      </c>
      <c r="BG18" s="20">
        <f t="shared" si="17"/>
        <v>3.5083402241492478E-3</v>
      </c>
      <c r="BH18" s="16"/>
      <c r="BI18" s="16">
        <f t="shared" si="18"/>
        <v>8904</v>
      </c>
      <c r="BJ18" s="16">
        <f t="shared" si="19"/>
        <v>9043</v>
      </c>
      <c r="BK18" s="16">
        <f t="shared" si="20"/>
        <v>65</v>
      </c>
      <c r="BL18" s="16"/>
      <c r="BM18" s="16">
        <f t="shared" si="33"/>
        <v>18012</v>
      </c>
      <c r="BN18" s="22">
        <f t="shared" si="39"/>
        <v>1.660245183887916</v>
      </c>
      <c r="BO18" s="19">
        <f t="shared" si="40"/>
        <v>0.20818307905686548</v>
      </c>
    </row>
    <row r="19" spans="1:67" s="9" customFormat="1" ht="13" customHeight="1" x14ac:dyDescent="0.15">
      <c r="A19" s="7" t="s">
        <v>6</v>
      </c>
      <c r="B19" s="25"/>
      <c r="D19" s="38">
        <f t="shared" si="34"/>
        <v>14</v>
      </c>
      <c r="E19" s="41">
        <f t="shared" si="21"/>
        <v>43901</v>
      </c>
      <c r="F19" s="16"/>
      <c r="G19" s="17">
        <f t="shared" si="22"/>
        <v>1.2945842796912153</v>
      </c>
      <c r="H19" s="40">
        <f t="shared" si="0"/>
        <v>9.5342863975350163</v>
      </c>
      <c r="I19" s="16">
        <f t="shared" si="23"/>
        <v>150137</v>
      </c>
      <c r="J19" s="16">
        <f>SUM(I$5:I19)</f>
        <v>443393</v>
      </c>
      <c r="K19" s="16"/>
      <c r="L19" s="18">
        <f t="shared" ca="1" si="24"/>
        <v>1.660245183887916</v>
      </c>
      <c r="M19" s="40">
        <f t="shared" ca="1" si="1"/>
        <v>5.5602273533427233</v>
      </c>
      <c r="N19" s="16">
        <f t="shared" ca="1" si="2"/>
        <v>10849</v>
      </c>
      <c r="O19" s="16">
        <f ca="1">SUM(N$5:N19)</f>
        <v>20821</v>
      </c>
      <c r="P19" s="16"/>
      <c r="Q19" s="19">
        <f t="shared" ca="1" si="25"/>
        <v>4.6958341696869368E-2</v>
      </c>
      <c r="R19" s="16"/>
      <c r="S19" s="16">
        <f t="shared" ca="1" si="3"/>
        <v>57680</v>
      </c>
      <c r="T19" s="19">
        <f t="shared" ca="1" si="26"/>
        <v>0.18808945908460473</v>
      </c>
      <c r="U19" s="35"/>
      <c r="V19" s="30">
        <f t="shared" si="4"/>
        <v>1.4</v>
      </c>
      <c r="W19" s="16">
        <f t="shared" si="5"/>
        <v>9556607</v>
      </c>
      <c r="X19" s="16"/>
      <c r="Y19" s="16">
        <f t="shared" si="6"/>
        <v>15014</v>
      </c>
      <c r="Z19" s="16">
        <f t="shared" si="7"/>
        <v>90082</v>
      </c>
      <c r="AA19" s="16">
        <f t="shared" si="8"/>
        <v>45041</v>
      </c>
      <c r="AB19" s="16"/>
      <c r="AC19" s="16">
        <f t="shared" si="9"/>
        <v>24864</v>
      </c>
      <c r="AD19" s="16">
        <f t="shared" si="10"/>
        <v>336329</v>
      </c>
      <c r="AE19" s="16">
        <f t="shared" si="11"/>
        <v>9638807</v>
      </c>
      <c r="AF19" s="16"/>
      <c r="AG19" s="16">
        <f>ROUND(AC19*Desire_severe*(1-SUM($BA$5:$BC18)/Population),0)</f>
        <v>24221</v>
      </c>
      <c r="AH19" s="16">
        <f>ROUND(AD19*Desire_mild*(1-SUM($BA$5:$BC18)/Population),0)</f>
        <v>163817</v>
      </c>
      <c r="AI19" s="16">
        <f>ROUND(AE19*Desire_asy*(1-SUM($BA$5:$BC18)/Population),0)</f>
        <v>187792</v>
      </c>
      <c r="AJ19" s="16"/>
      <c r="AK19" s="16">
        <f t="shared" si="35"/>
        <v>129780</v>
      </c>
      <c r="AL19" s="16">
        <f t="shared" si="13"/>
        <v>97335</v>
      </c>
      <c r="AM19" s="16">
        <f t="shared" si="27"/>
        <v>32445</v>
      </c>
      <c r="AN19" s="16"/>
      <c r="AO19" s="16">
        <f t="shared" si="36"/>
        <v>24221</v>
      </c>
      <c r="AP19" s="16">
        <f t="shared" si="37"/>
        <v>73114</v>
      </c>
      <c r="AQ19" s="16">
        <f t="shared" si="28"/>
        <v>0</v>
      </c>
      <c r="AR19" s="16"/>
      <c r="AS19" s="16">
        <f t="shared" si="38"/>
        <v>0</v>
      </c>
      <c r="AT19" s="16">
        <f t="shared" si="14"/>
        <v>90703</v>
      </c>
      <c r="AU19" s="16">
        <f t="shared" si="14"/>
        <v>187792</v>
      </c>
      <c r="AV19" s="16"/>
      <c r="AW19" s="16">
        <f t="shared" si="29"/>
        <v>0</v>
      </c>
      <c r="AX19" s="16">
        <f t="shared" si="15"/>
        <v>10567</v>
      </c>
      <c r="AY19" s="16">
        <f t="shared" si="30"/>
        <v>21878</v>
      </c>
      <c r="AZ19" s="16"/>
      <c r="BA19" s="16">
        <f t="shared" si="31"/>
        <v>24221</v>
      </c>
      <c r="BB19" s="16">
        <f t="shared" si="16"/>
        <v>83681</v>
      </c>
      <c r="BC19" s="16">
        <f t="shared" si="16"/>
        <v>21878</v>
      </c>
      <c r="BD19" s="16"/>
      <c r="BE19" s="20">
        <f t="shared" si="32"/>
        <v>0.60384491634491633</v>
      </c>
      <c r="BF19" s="20">
        <f t="shared" si="17"/>
        <v>0.26783893152240812</v>
      </c>
      <c r="BG19" s="20">
        <f t="shared" si="17"/>
        <v>4.6728811978494853E-3</v>
      </c>
      <c r="BH19" s="16"/>
      <c r="BI19" s="16">
        <f t="shared" si="18"/>
        <v>11720</v>
      </c>
      <c r="BJ19" s="16">
        <f t="shared" si="19"/>
        <v>18053</v>
      </c>
      <c r="BK19" s="16">
        <f t="shared" si="20"/>
        <v>126</v>
      </c>
      <c r="BL19" s="16"/>
      <c r="BM19" s="16">
        <f t="shared" si="33"/>
        <v>29899</v>
      </c>
      <c r="BN19" s="22">
        <f t="shared" si="39"/>
        <v>1.659948922940262</v>
      </c>
      <c r="BO19" s="19">
        <f t="shared" si="40"/>
        <v>0.23038218523655418</v>
      </c>
    </row>
    <row r="20" spans="1:67" s="9" customFormat="1" ht="13" customHeight="1" x14ac:dyDescent="0.15">
      <c r="A20" s="15" t="s">
        <v>1</v>
      </c>
      <c r="B20" s="25">
        <v>10000000</v>
      </c>
      <c r="D20" s="38">
        <f t="shared" si="34"/>
        <v>15</v>
      </c>
      <c r="E20" s="41">
        <f t="shared" si="21"/>
        <v>43906</v>
      </c>
      <c r="F20" s="16"/>
      <c r="G20" s="17">
        <f t="shared" si="22"/>
        <v>0.62995909757415169</v>
      </c>
      <c r="H20" s="40">
        <f t="shared" si="0"/>
        <v>19.733990997373194</v>
      </c>
      <c r="I20" s="16">
        <f t="shared" si="23"/>
        <v>194365</v>
      </c>
      <c r="J20" s="16">
        <f>SUM(I$5:I20)</f>
        <v>637758</v>
      </c>
      <c r="K20" s="16"/>
      <c r="L20" s="18">
        <f t="shared" ca="1" si="24"/>
        <v>1.659948922940262</v>
      </c>
      <c r="M20" s="40">
        <f t="shared" ca="1" si="1"/>
        <v>6.0701802068526707</v>
      </c>
      <c r="N20" s="16">
        <f t="shared" ca="1" si="2"/>
        <v>18012</v>
      </c>
      <c r="O20" s="16">
        <f ca="1">SUM(N$5:N20)</f>
        <v>38833</v>
      </c>
      <c r="P20" s="16"/>
      <c r="Q20" s="19">
        <f t="shared" ca="1" si="25"/>
        <v>6.0889867316442914E-2</v>
      </c>
      <c r="R20" s="16"/>
      <c r="S20" s="16">
        <f t="shared" ca="1" si="3"/>
        <v>86520</v>
      </c>
      <c r="T20" s="19">
        <f t="shared" ca="1" si="26"/>
        <v>0.20818307905686548</v>
      </c>
      <c r="U20" s="35"/>
      <c r="V20" s="30">
        <f t="shared" si="4"/>
        <v>0.7</v>
      </c>
      <c r="W20" s="16">
        <f t="shared" si="5"/>
        <v>9362242</v>
      </c>
      <c r="X20" s="16"/>
      <c r="Y20" s="16">
        <f t="shared" si="6"/>
        <v>19437</v>
      </c>
      <c r="Z20" s="16">
        <f t="shared" si="7"/>
        <v>116619</v>
      </c>
      <c r="AA20" s="16">
        <f t="shared" si="8"/>
        <v>58309</v>
      </c>
      <c r="AB20" s="16"/>
      <c r="AC20" s="16">
        <f t="shared" si="9"/>
        <v>29243</v>
      </c>
      <c r="AD20" s="16">
        <f t="shared" si="10"/>
        <v>361760</v>
      </c>
      <c r="AE20" s="16">
        <f t="shared" si="11"/>
        <v>9608997</v>
      </c>
      <c r="AF20" s="16"/>
      <c r="AG20" s="16">
        <f>ROUND(AC20*Desire_severe*(1-SUM($BA$5:$BC19)/Population),0)</f>
        <v>28107</v>
      </c>
      <c r="AH20" s="16">
        <f>ROUND(AD20*Desire_mild*(1-SUM($BA$5:$BC19)/Population),0)</f>
        <v>173856</v>
      </c>
      <c r="AI20" s="16">
        <f>ROUND(AE20*Desire_asy*(1-SUM($BA$5:$BC19)/Population),0)</f>
        <v>184717</v>
      </c>
      <c r="AJ20" s="16"/>
      <c r="AK20" s="16">
        <f t="shared" si="35"/>
        <v>194670</v>
      </c>
      <c r="AL20" s="16">
        <f t="shared" si="13"/>
        <v>146003</v>
      </c>
      <c r="AM20" s="16">
        <f t="shared" si="27"/>
        <v>48667</v>
      </c>
      <c r="AN20" s="16"/>
      <c r="AO20" s="16">
        <f t="shared" si="36"/>
        <v>28107</v>
      </c>
      <c r="AP20" s="16">
        <f t="shared" si="37"/>
        <v>117896</v>
      </c>
      <c r="AQ20" s="16">
        <f t="shared" si="28"/>
        <v>0</v>
      </c>
      <c r="AR20" s="16"/>
      <c r="AS20" s="16">
        <f t="shared" si="38"/>
        <v>0</v>
      </c>
      <c r="AT20" s="16">
        <f t="shared" si="14"/>
        <v>55960</v>
      </c>
      <c r="AU20" s="16">
        <f t="shared" si="14"/>
        <v>184717</v>
      </c>
      <c r="AV20" s="16"/>
      <c r="AW20" s="16">
        <f t="shared" si="29"/>
        <v>0</v>
      </c>
      <c r="AX20" s="16">
        <f t="shared" si="15"/>
        <v>11316</v>
      </c>
      <c r="AY20" s="16">
        <f t="shared" si="30"/>
        <v>37351</v>
      </c>
      <c r="AZ20" s="16"/>
      <c r="BA20" s="16">
        <f t="shared" si="31"/>
        <v>28107</v>
      </c>
      <c r="BB20" s="16">
        <f t="shared" si="16"/>
        <v>129212</v>
      </c>
      <c r="BC20" s="16">
        <f t="shared" si="16"/>
        <v>37351</v>
      </c>
      <c r="BD20" s="16"/>
      <c r="BE20" s="20">
        <f t="shared" si="32"/>
        <v>0.66467188728926585</v>
      </c>
      <c r="BF20" s="20">
        <f t="shared" si="17"/>
        <v>0.3223656567890314</v>
      </c>
      <c r="BG20" s="20">
        <f t="shared" si="17"/>
        <v>6.0681671562599097E-3</v>
      </c>
      <c r="BH20" s="16"/>
      <c r="BI20" s="16">
        <f t="shared" si="18"/>
        <v>14965</v>
      </c>
      <c r="BJ20" s="16">
        <f t="shared" si="19"/>
        <v>33498</v>
      </c>
      <c r="BK20" s="16">
        <f t="shared" si="20"/>
        <v>255</v>
      </c>
      <c r="BL20" s="16"/>
      <c r="BM20" s="16">
        <f t="shared" si="33"/>
        <v>48718</v>
      </c>
      <c r="BN20" s="22">
        <f t="shared" si="39"/>
        <v>1.6294190441151879</v>
      </c>
      <c r="BO20" s="19">
        <f t="shared" si="40"/>
        <v>0.25025941336620949</v>
      </c>
    </row>
    <row r="21" spans="1:67" s="9" customFormat="1" ht="13" customHeight="1" x14ac:dyDescent="0.15">
      <c r="A21" s="15" t="s">
        <v>56</v>
      </c>
      <c r="B21" s="8">
        <v>1</v>
      </c>
      <c r="D21" s="38">
        <f t="shared" si="34"/>
        <v>16</v>
      </c>
      <c r="E21" s="41">
        <f t="shared" si="21"/>
        <v>43911</v>
      </c>
      <c r="F21" s="16"/>
      <c r="G21" s="17">
        <f t="shared" si="22"/>
        <v>0.61915845869881247</v>
      </c>
      <c r="H21" s="40">
        <f t="shared" si="0"/>
        <v>36.458321990384064</v>
      </c>
      <c r="I21" s="16">
        <f t="shared" si="23"/>
        <v>122442</v>
      </c>
      <c r="J21" s="16">
        <f>SUM(I$5:I21)</f>
        <v>760200</v>
      </c>
      <c r="K21" s="16"/>
      <c r="L21" s="18">
        <f t="shared" ca="1" si="24"/>
        <v>1.6294190441151879</v>
      </c>
      <c r="M21" s="40">
        <f t="shared" ca="1" si="1"/>
        <v>6.4683649839953965</v>
      </c>
      <c r="N21" s="16">
        <f t="shared" ca="1" si="2"/>
        <v>29899</v>
      </c>
      <c r="O21" s="16">
        <f ca="1">SUM(N$5:N21)</f>
        <v>68732</v>
      </c>
      <c r="P21" s="16"/>
      <c r="Q21" s="19">
        <f t="shared" ca="1" si="25"/>
        <v>9.0413049197579587E-2</v>
      </c>
      <c r="R21" s="16"/>
      <c r="S21" s="16">
        <f t="shared" ca="1" si="3"/>
        <v>129780</v>
      </c>
      <c r="T21" s="19">
        <f t="shared" ca="1" si="26"/>
        <v>0.23038218523655418</v>
      </c>
      <c r="U21" s="35"/>
      <c r="V21" s="30">
        <f t="shared" si="4"/>
        <v>0.7</v>
      </c>
      <c r="W21" s="16">
        <f t="shared" si="5"/>
        <v>9239800</v>
      </c>
      <c r="X21" s="16"/>
      <c r="Y21" s="16">
        <f t="shared" si="6"/>
        <v>12244</v>
      </c>
      <c r="Z21" s="16">
        <f t="shared" si="7"/>
        <v>73465</v>
      </c>
      <c r="AA21" s="16">
        <f t="shared" si="8"/>
        <v>36733</v>
      </c>
      <c r="AB21" s="16"/>
      <c r="AC21" s="16">
        <f t="shared" si="9"/>
        <v>22122</v>
      </c>
      <c r="AD21" s="16">
        <f t="shared" si="10"/>
        <v>320404</v>
      </c>
      <c r="AE21" s="16">
        <f t="shared" si="11"/>
        <v>9657474</v>
      </c>
      <c r="AF21" s="16"/>
      <c r="AG21" s="16">
        <f>ROUND(AC21*Desire_severe*(1-SUM($BA$5:$BC20)/Population),0)</f>
        <v>20832</v>
      </c>
      <c r="AH21" s="16">
        <f>ROUND(AD21*Desire_mild*(1-SUM($BA$5:$BC20)/Population),0)</f>
        <v>150862</v>
      </c>
      <c r="AI21" s="16">
        <f>ROUND(AE21*Desire_asy*(1-SUM($BA$5:$BC20)/Population),0)</f>
        <v>181889</v>
      </c>
      <c r="AJ21" s="16"/>
      <c r="AK21" s="16">
        <f t="shared" si="35"/>
        <v>292005</v>
      </c>
      <c r="AL21" s="16">
        <f t="shared" si="13"/>
        <v>219004</v>
      </c>
      <c r="AM21" s="16">
        <f t="shared" si="27"/>
        <v>73001</v>
      </c>
      <c r="AN21" s="16"/>
      <c r="AO21" s="16">
        <f t="shared" si="36"/>
        <v>20832</v>
      </c>
      <c r="AP21" s="16">
        <f t="shared" si="37"/>
        <v>150862</v>
      </c>
      <c r="AQ21" s="16">
        <f t="shared" si="28"/>
        <v>47310</v>
      </c>
      <c r="AR21" s="16"/>
      <c r="AS21" s="16">
        <f t="shared" si="38"/>
        <v>0</v>
      </c>
      <c r="AT21" s="16">
        <f t="shared" si="38"/>
        <v>0</v>
      </c>
      <c r="AU21" s="16">
        <f t="shared" si="38"/>
        <v>134579</v>
      </c>
      <c r="AV21" s="16"/>
      <c r="AW21" s="16">
        <f t="shared" si="29"/>
        <v>0</v>
      </c>
      <c r="AX21" s="16">
        <f t="shared" si="15"/>
        <v>0</v>
      </c>
      <c r="AY21" s="16">
        <f t="shared" si="30"/>
        <v>73001</v>
      </c>
      <c r="AZ21" s="16"/>
      <c r="BA21" s="16">
        <f t="shared" si="31"/>
        <v>20832</v>
      </c>
      <c r="BB21" s="16">
        <f t="shared" si="31"/>
        <v>150862</v>
      </c>
      <c r="BC21" s="16">
        <f t="shared" si="31"/>
        <v>120311</v>
      </c>
      <c r="BD21" s="16"/>
      <c r="BE21" s="20">
        <f t="shared" si="32"/>
        <v>0.55347617756079925</v>
      </c>
      <c r="BF21" s="20">
        <f t="shared" si="32"/>
        <v>0.22928864808179672</v>
      </c>
      <c r="BG21" s="20">
        <f t="shared" si="32"/>
        <v>3.8035825931294251E-3</v>
      </c>
      <c r="BH21" s="16"/>
      <c r="BI21" s="16">
        <f t="shared" si="18"/>
        <v>9243</v>
      </c>
      <c r="BJ21" s="16">
        <f t="shared" si="19"/>
        <v>27906</v>
      </c>
      <c r="BK21" s="16">
        <f t="shared" si="20"/>
        <v>606</v>
      </c>
      <c r="BL21" s="16"/>
      <c r="BM21" s="16">
        <f t="shared" si="33"/>
        <v>37755</v>
      </c>
      <c r="BN21" s="22">
        <f t="shared" si="39"/>
        <v>0.77497023687343491</v>
      </c>
      <c r="BO21" s="19">
        <f t="shared" si="40"/>
        <v>0.12929573123747881</v>
      </c>
    </row>
    <row r="22" spans="1:67" s="9" customFormat="1" ht="13" customHeight="1" x14ac:dyDescent="0.15">
      <c r="A22" s="15"/>
      <c r="B22" s="8"/>
      <c r="D22" s="38">
        <f t="shared" si="34"/>
        <v>17</v>
      </c>
      <c r="E22" s="41">
        <f t="shared" si="21"/>
        <v>43916</v>
      </c>
      <c r="F22" s="16"/>
      <c r="G22" s="17">
        <f t="shared" si="22"/>
        <v>0.61252324860508367</v>
      </c>
      <c r="H22" s="40">
        <f t="shared" si="0"/>
        <v>64.11266815249877</v>
      </c>
      <c r="I22" s="16">
        <f t="shared" si="23"/>
        <v>75811</v>
      </c>
      <c r="J22" s="16">
        <f>SUM(I$5:I22)</f>
        <v>836011</v>
      </c>
      <c r="K22" s="16"/>
      <c r="L22" s="18">
        <f t="shared" ca="1" si="24"/>
        <v>0.77497023687343491</v>
      </c>
      <c r="M22" s="40">
        <f t="shared" ca="1" si="1"/>
        <v>12.433841951463334</v>
      </c>
      <c r="N22" s="16">
        <f t="shared" ca="1" si="2"/>
        <v>48718</v>
      </c>
      <c r="O22" s="16">
        <f ca="1">SUM(N$5:N22)</f>
        <v>117450</v>
      </c>
      <c r="P22" s="16"/>
      <c r="Q22" s="19">
        <f t="shared" ca="1" si="25"/>
        <v>0.14048858208803472</v>
      </c>
      <c r="R22" s="16"/>
      <c r="S22" s="16">
        <f t="shared" ca="1" si="3"/>
        <v>194670</v>
      </c>
      <c r="T22" s="19">
        <f t="shared" ca="1" si="26"/>
        <v>0.25025941336620949</v>
      </c>
      <c r="U22" s="35"/>
      <c r="V22" s="30">
        <f t="shared" si="4"/>
        <v>0.7</v>
      </c>
      <c r="W22" s="16">
        <f t="shared" si="5"/>
        <v>9163989</v>
      </c>
      <c r="X22" s="16"/>
      <c r="Y22" s="16">
        <f t="shared" si="6"/>
        <v>7581</v>
      </c>
      <c r="Z22" s="16">
        <f t="shared" si="7"/>
        <v>45487</v>
      </c>
      <c r="AA22" s="16">
        <f t="shared" si="8"/>
        <v>22743</v>
      </c>
      <c r="AB22" s="16"/>
      <c r="AC22" s="16">
        <f t="shared" si="9"/>
        <v>17505</v>
      </c>
      <c r="AD22" s="16">
        <f t="shared" si="10"/>
        <v>293592</v>
      </c>
      <c r="AE22" s="16">
        <f t="shared" si="11"/>
        <v>9688903</v>
      </c>
      <c r="AF22" s="16"/>
      <c r="AG22" s="16">
        <f>ROUND(AC22*Desire_severe*(1-SUM($BA$5:$BC21)/Population),0)</f>
        <v>15973</v>
      </c>
      <c r="AH22" s="16">
        <f>ROUND(AD22*Desire_mild*(1-SUM($BA$5:$BC21)/Population),0)</f>
        <v>133951</v>
      </c>
      <c r="AI22" s="16">
        <f>ROUND(AE22*Desire_asy*(1-SUM($BA$5:$BC21)/Population),0)</f>
        <v>176822</v>
      </c>
      <c r="AJ22" s="16"/>
      <c r="AK22" s="16">
        <f t="shared" si="35"/>
        <v>438008</v>
      </c>
      <c r="AL22" s="16">
        <f t="shared" si="13"/>
        <v>328506</v>
      </c>
      <c r="AM22" s="16">
        <f t="shared" si="27"/>
        <v>109502</v>
      </c>
      <c r="AN22" s="16"/>
      <c r="AO22" s="16">
        <f t="shared" si="36"/>
        <v>15973</v>
      </c>
      <c r="AP22" s="16">
        <f t="shared" si="37"/>
        <v>133951</v>
      </c>
      <c r="AQ22" s="16">
        <f t="shared" si="28"/>
        <v>176822</v>
      </c>
      <c r="AR22" s="16"/>
      <c r="AS22" s="16">
        <f t="shared" si="38"/>
        <v>0</v>
      </c>
      <c r="AT22" s="16">
        <f t="shared" si="38"/>
        <v>0</v>
      </c>
      <c r="AU22" s="16">
        <f t="shared" si="38"/>
        <v>0</v>
      </c>
      <c r="AV22" s="16"/>
      <c r="AW22" s="16">
        <f t="shared" si="29"/>
        <v>0</v>
      </c>
      <c r="AX22" s="16">
        <f t="shared" si="15"/>
        <v>0</v>
      </c>
      <c r="AY22" s="16">
        <f t="shared" si="30"/>
        <v>0</v>
      </c>
      <c r="AZ22" s="16"/>
      <c r="BA22" s="16">
        <f t="shared" si="31"/>
        <v>15973</v>
      </c>
      <c r="BB22" s="16">
        <f t="shared" si="31"/>
        <v>133951</v>
      </c>
      <c r="BC22" s="16">
        <f t="shared" si="31"/>
        <v>176822</v>
      </c>
      <c r="BD22" s="16"/>
      <c r="BE22" s="20">
        <f t="shared" si="32"/>
        <v>0.43307626392459297</v>
      </c>
      <c r="BF22" s="20">
        <f t="shared" si="32"/>
        <v>0.15493269571377966</v>
      </c>
      <c r="BG22" s="20">
        <f t="shared" si="32"/>
        <v>2.3473245629561986E-3</v>
      </c>
      <c r="BH22" s="16"/>
      <c r="BI22" s="16">
        <f t="shared" si="18"/>
        <v>5552</v>
      </c>
      <c r="BJ22" s="16">
        <f t="shared" si="19"/>
        <v>16829</v>
      </c>
      <c r="BK22" s="16">
        <f t="shared" si="20"/>
        <v>685</v>
      </c>
      <c r="BL22" s="16"/>
      <c r="BM22" s="16">
        <f t="shared" si="33"/>
        <v>23066</v>
      </c>
      <c r="BN22" s="22">
        <f t="shared" si="39"/>
        <v>0.6109389484836445</v>
      </c>
      <c r="BO22" s="19">
        <f t="shared" si="40"/>
        <v>7.0593060052762696E-2</v>
      </c>
    </row>
    <row r="23" spans="1:67" s="9" customFormat="1" ht="13" customHeight="1" x14ac:dyDescent="0.15">
      <c r="A23" s="15" t="s">
        <v>43</v>
      </c>
      <c r="B23" s="26">
        <v>1E-3</v>
      </c>
      <c r="D23" s="38">
        <f t="shared" si="34"/>
        <v>18</v>
      </c>
      <c r="E23" s="41">
        <f t="shared" si="21"/>
        <v>43921</v>
      </c>
      <c r="F23" s="16"/>
      <c r="G23" s="17">
        <f t="shared" si="22"/>
        <v>0.60847187526918767</v>
      </c>
      <c r="H23" s="40">
        <f t="shared" si="0"/>
        <v>109.96401515652877</v>
      </c>
      <c r="I23" s="16">
        <f t="shared" si="23"/>
        <v>46436</v>
      </c>
      <c r="J23" s="16">
        <f>SUM(I$5:I23)</f>
        <v>882447</v>
      </c>
      <c r="K23" s="16"/>
      <c r="L23" s="18">
        <f t="shared" ca="1" si="24"/>
        <v>0.6109389484836445</v>
      </c>
      <c r="M23" s="40">
        <f t="shared" ca="1" si="1"/>
        <v>25.012881861607546</v>
      </c>
      <c r="N23" s="16">
        <f t="shared" ca="1" si="2"/>
        <v>37755</v>
      </c>
      <c r="O23" s="16">
        <f ca="1">SUM(N$5:N23)</f>
        <v>155205</v>
      </c>
      <c r="P23" s="16"/>
      <c r="Q23" s="19">
        <f t="shared" ca="1" si="25"/>
        <v>0.17588025116522579</v>
      </c>
      <c r="R23" s="16"/>
      <c r="S23" s="16">
        <f t="shared" ca="1" si="3"/>
        <v>292005</v>
      </c>
      <c r="T23" s="19">
        <f t="shared" ca="1" si="26"/>
        <v>0.12929573123747881</v>
      </c>
      <c r="U23" s="35"/>
      <c r="V23" s="30">
        <f t="shared" si="4"/>
        <v>0.7</v>
      </c>
      <c r="W23" s="16">
        <f t="shared" si="5"/>
        <v>9117553</v>
      </c>
      <c r="X23" s="16"/>
      <c r="Y23" s="16">
        <f t="shared" si="6"/>
        <v>4644</v>
      </c>
      <c r="Z23" s="16">
        <f t="shared" si="7"/>
        <v>27862</v>
      </c>
      <c r="AA23" s="16">
        <f t="shared" si="8"/>
        <v>13930</v>
      </c>
      <c r="AB23" s="16"/>
      <c r="AC23" s="16">
        <f t="shared" si="9"/>
        <v>14598</v>
      </c>
      <c r="AD23" s="16">
        <f t="shared" si="10"/>
        <v>276701</v>
      </c>
      <c r="AE23" s="16">
        <f t="shared" si="11"/>
        <v>9708701</v>
      </c>
      <c r="AF23" s="16"/>
      <c r="AG23" s="16">
        <f>ROUND(AC23*Desire_severe*(1-SUM($BA$5:$BC22)/Population),0)</f>
        <v>12844</v>
      </c>
      <c r="AH23" s="16">
        <f>ROUND(AD23*Desire_mild*(1-SUM($BA$5:$BC22)/Population),0)</f>
        <v>121724</v>
      </c>
      <c r="AI23" s="16">
        <f>ROUND(AE23*Desire_asy*(1-SUM($BA$5:$BC22)/Population),0)</f>
        <v>170839</v>
      </c>
      <c r="AJ23" s="16"/>
      <c r="AK23" s="16">
        <f t="shared" si="35"/>
        <v>657012</v>
      </c>
      <c r="AL23" s="16">
        <f t="shared" si="13"/>
        <v>492759</v>
      </c>
      <c r="AM23" s="16">
        <f t="shared" si="27"/>
        <v>164253</v>
      </c>
      <c r="AN23" s="16"/>
      <c r="AO23" s="16">
        <f t="shared" si="36"/>
        <v>12844</v>
      </c>
      <c r="AP23" s="16">
        <f t="shared" si="37"/>
        <v>121724</v>
      </c>
      <c r="AQ23" s="16">
        <f t="shared" si="28"/>
        <v>170839</v>
      </c>
      <c r="AR23" s="16"/>
      <c r="AS23" s="16">
        <f t="shared" si="38"/>
        <v>0</v>
      </c>
      <c r="AT23" s="16">
        <f t="shared" si="38"/>
        <v>0</v>
      </c>
      <c r="AU23" s="16">
        <f t="shared" si="38"/>
        <v>0</v>
      </c>
      <c r="AV23" s="16"/>
      <c r="AW23" s="16">
        <f t="shared" si="29"/>
        <v>0</v>
      </c>
      <c r="AX23" s="16">
        <f t="shared" si="15"/>
        <v>0</v>
      </c>
      <c r="AY23" s="16">
        <f t="shared" si="30"/>
        <v>0</v>
      </c>
      <c r="AZ23" s="16"/>
      <c r="BA23" s="16">
        <f t="shared" si="31"/>
        <v>12844</v>
      </c>
      <c r="BB23" s="16">
        <f t="shared" si="31"/>
        <v>121724</v>
      </c>
      <c r="BC23" s="16">
        <f t="shared" si="31"/>
        <v>170839</v>
      </c>
      <c r="BD23" s="16"/>
      <c r="BE23" s="20">
        <f t="shared" si="32"/>
        <v>0.31812577065351416</v>
      </c>
      <c r="BF23" s="20">
        <f t="shared" si="32"/>
        <v>0.10069352839346443</v>
      </c>
      <c r="BG23" s="20">
        <f t="shared" si="32"/>
        <v>1.4347954479183157E-3</v>
      </c>
      <c r="BH23" s="16"/>
      <c r="BI23" s="16">
        <f t="shared" si="18"/>
        <v>3287</v>
      </c>
      <c r="BJ23" s="16">
        <f t="shared" si="19"/>
        <v>10024</v>
      </c>
      <c r="BK23" s="16">
        <f t="shared" si="20"/>
        <v>537</v>
      </c>
      <c r="BL23" s="16"/>
      <c r="BM23" s="16">
        <f t="shared" si="33"/>
        <v>13848</v>
      </c>
      <c r="BN23" s="22">
        <f t="shared" si="39"/>
        <v>0.60036417237492412</v>
      </c>
      <c r="BO23" s="19">
        <f t="shared" si="40"/>
        <v>4.5342772104110252E-2</v>
      </c>
    </row>
    <row r="24" spans="1:67" s="9" customFormat="1" ht="13" customHeight="1" x14ac:dyDescent="0.15">
      <c r="A24" s="15" t="s">
        <v>44</v>
      </c>
      <c r="B24" s="26">
        <v>2.5000000000000001E-2</v>
      </c>
      <c r="D24" s="38">
        <f t="shared" si="34"/>
        <v>19</v>
      </c>
      <c r="E24" s="41">
        <f t="shared" si="21"/>
        <v>43926</v>
      </c>
      <c r="F24" s="16"/>
      <c r="G24" s="17">
        <f t="shared" si="22"/>
        <v>0.60601663422403118</v>
      </c>
      <c r="H24" s="40">
        <f t="shared" si="0"/>
        <v>186.05573779112837</v>
      </c>
      <c r="I24" s="16">
        <f t="shared" si="23"/>
        <v>28255</v>
      </c>
      <c r="J24" s="16">
        <f>SUM(I$5:I24)</f>
        <v>910702</v>
      </c>
      <c r="K24" s="16"/>
      <c r="L24" s="18">
        <f t="shared" ca="1" si="24"/>
        <v>0.60036417237492412</v>
      </c>
      <c r="M24" s="40">
        <f t="shared" ca="1" si="1"/>
        <v>46.327107773627674</v>
      </c>
      <c r="N24" s="16">
        <f t="shared" ca="1" si="2"/>
        <v>23066</v>
      </c>
      <c r="O24" s="16">
        <f ca="1">SUM(N$5:N24)</f>
        <v>178271</v>
      </c>
      <c r="P24" s="16"/>
      <c r="Q24" s="19">
        <f t="shared" ca="1" si="25"/>
        <v>0.19575118974154004</v>
      </c>
      <c r="R24" s="16"/>
      <c r="S24" s="16">
        <f t="shared" ca="1" si="3"/>
        <v>326746</v>
      </c>
      <c r="T24" s="19">
        <f t="shared" ca="1" si="26"/>
        <v>7.0593060052762696E-2</v>
      </c>
      <c r="U24" s="35"/>
      <c r="V24" s="30">
        <f t="shared" si="4"/>
        <v>0.7</v>
      </c>
      <c r="W24" s="16">
        <f t="shared" si="5"/>
        <v>9089298</v>
      </c>
      <c r="X24" s="16"/>
      <c r="Y24" s="16">
        <f t="shared" si="6"/>
        <v>2826</v>
      </c>
      <c r="Z24" s="16">
        <f t="shared" si="7"/>
        <v>16953</v>
      </c>
      <c r="AA24" s="16">
        <f t="shared" si="8"/>
        <v>8476</v>
      </c>
      <c r="AB24" s="16"/>
      <c r="AC24" s="16">
        <f t="shared" si="9"/>
        <v>12798</v>
      </c>
      <c r="AD24" s="16">
        <f t="shared" si="10"/>
        <v>266247</v>
      </c>
      <c r="AE24" s="16">
        <f t="shared" si="11"/>
        <v>9720955</v>
      </c>
      <c r="AF24" s="16"/>
      <c r="AG24" s="16">
        <f>ROUND(AC24*Desire_severe*(1-SUM($BA$5:$BC23)/Population),0)</f>
        <v>10869</v>
      </c>
      <c r="AH24" s="16">
        <f>ROUND(AD24*Desire_mild*(1-SUM($BA$5:$BC23)/Population),0)</f>
        <v>113060</v>
      </c>
      <c r="AI24" s="16">
        <f>ROUND(AE24*Desire_asy*(1-SUM($BA$5:$BC23)/Population),0)</f>
        <v>165117</v>
      </c>
      <c r="AJ24" s="16"/>
      <c r="AK24" s="16">
        <f t="shared" si="35"/>
        <v>985518</v>
      </c>
      <c r="AL24" s="16">
        <f t="shared" si="13"/>
        <v>739139</v>
      </c>
      <c r="AM24" s="16">
        <f t="shared" si="27"/>
        <v>246379</v>
      </c>
      <c r="AN24" s="16"/>
      <c r="AO24" s="16">
        <f t="shared" si="36"/>
        <v>10869</v>
      </c>
      <c r="AP24" s="16">
        <f t="shared" si="37"/>
        <v>113060</v>
      </c>
      <c r="AQ24" s="16">
        <f t="shared" si="28"/>
        <v>165117</v>
      </c>
      <c r="AR24" s="16"/>
      <c r="AS24" s="16">
        <f t="shared" si="38"/>
        <v>0</v>
      </c>
      <c r="AT24" s="16">
        <f t="shared" si="38"/>
        <v>0</v>
      </c>
      <c r="AU24" s="16">
        <f t="shared" si="38"/>
        <v>0</v>
      </c>
      <c r="AV24" s="16"/>
      <c r="AW24" s="16">
        <f t="shared" si="29"/>
        <v>0</v>
      </c>
      <c r="AX24" s="16">
        <f t="shared" si="15"/>
        <v>0</v>
      </c>
      <c r="AY24" s="16">
        <f t="shared" si="30"/>
        <v>0</v>
      </c>
      <c r="AZ24" s="16"/>
      <c r="BA24" s="16">
        <f t="shared" si="31"/>
        <v>10869</v>
      </c>
      <c r="BB24" s="16">
        <f t="shared" si="31"/>
        <v>113060</v>
      </c>
      <c r="BC24" s="16">
        <f t="shared" si="31"/>
        <v>165117</v>
      </c>
      <c r="BD24" s="16"/>
      <c r="BE24" s="20">
        <f t="shared" si="32"/>
        <v>0.22081575246132207</v>
      </c>
      <c r="BF24" s="20">
        <f t="shared" si="32"/>
        <v>6.3673956889655089E-2</v>
      </c>
      <c r="BG24" s="20">
        <f t="shared" si="32"/>
        <v>8.7193079280790823E-4</v>
      </c>
      <c r="BH24" s="16"/>
      <c r="BI24" s="16">
        <f t="shared" si="18"/>
        <v>1937</v>
      </c>
      <c r="BJ24" s="16">
        <f t="shared" si="19"/>
        <v>5971</v>
      </c>
      <c r="BK24" s="16">
        <f t="shared" si="20"/>
        <v>445</v>
      </c>
      <c r="BL24" s="16"/>
      <c r="BM24" s="16">
        <f t="shared" si="33"/>
        <v>8353</v>
      </c>
      <c r="BN24" s="22">
        <f t="shared" si="39"/>
        <v>0.60319179664933564</v>
      </c>
      <c r="BO24" s="19">
        <f t="shared" si="40"/>
        <v>2.8898514423309783E-2</v>
      </c>
    </row>
    <row r="25" spans="1:67" s="9" customFormat="1" ht="13" customHeight="1" x14ac:dyDescent="0.15">
      <c r="A25" s="15"/>
      <c r="B25" s="23"/>
      <c r="D25" s="38">
        <f t="shared" si="34"/>
        <v>20</v>
      </c>
      <c r="E25" s="41">
        <f t="shared" si="21"/>
        <v>43931</v>
      </c>
      <c r="F25" s="16"/>
      <c r="G25" s="17">
        <f t="shared" si="22"/>
        <v>0.60450855574373652</v>
      </c>
      <c r="H25" s="40">
        <f t="shared" si="0"/>
        <v>312.38529259132986</v>
      </c>
      <c r="I25" s="16">
        <f t="shared" si="23"/>
        <v>17123</v>
      </c>
      <c r="J25" s="16">
        <f>SUM(I$5:I25)</f>
        <v>927825</v>
      </c>
      <c r="K25" s="16"/>
      <c r="L25" s="18">
        <f t="shared" ca="1" si="24"/>
        <v>0.60319179664933564</v>
      </c>
      <c r="M25" s="40">
        <f t="shared" ca="1" si="1"/>
        <v>81.432502388206061</v>
      </c>
      <c r="N25" s="16">
        <f t="shared" ca="1" si="2"/>
        <v>13848</v>
      </c>
      <c r="O25" s="16">
        <f ca="1">SUM(N$5:N25)</f>
        <v>192119</v>
      </c>
      <c r="P25" s="16"/>
      <c r="Q25" s="19">
        <f t="shared" ca="1" si="25"/>
        <v>0.2070638320804031</v>
      </c>
      <c r="R25" s="16"/>
      <c r="S25" s="16">
        <f t="shared" ca="1" si="3"/>
        <v>305407</v>
      </c>
      <c r="T25" s="19">
        <f t="shared" ca="1" si="26"/>
        <v>4.5342772104110252E-2</v>
      </c>
      <c r="U25" s="35"/>
      <c r="V25" s="30">
        <f t="shared" si="4"/>
        <v>0.7</v>
      </c>
      <c r="W25" s="16">
        <f t="shared" si="5"/>
        <v>9072175</v>
      </c>
      <c r="X25" s="16"/>
      <c r="Y25" s="16">
        <f t="shared" si="6"/>
        <v>1712</v>
      </c>
      <c r="Z25" s="16">
        <f t="shared" si="7"/>
        <v>10274</v>
      </c>
      <c r="AA25" s="16">
        <f t="shared" si="8"/>
        <v>5137</v>
      </c>
      <c r="AB25" s="16"/>
      <c r="AC25" s="16">
        <f t="shared" si="9"/>
        <v>11695</v>
      </c>
      <c r="AD25" s="16">
        <f t="shared" si="10"/>
        <v>259846</v>
      </c>
      <c r="AE25" s="16">
        <f t="shared" si="11"/>
        <v>9728459</v>
      </c>
      <c r="AF25" s="16"/>
      <c r="AG25" s="16">
        <f>ROUND(AC25*Desire_severe*(1-SUM($BA$5:$BC24)/Population),0)</f>
        <v>9594</v>
      </c>
      <c r="AH25" s="16">
        <f>ROUND(AD25*Desire_mild*(1-SUM($BA$5:$BC24)/Population),0)</f>
        <v>106586</v>
      </c>
      <c r="AI25" s="16">
        <f>ROUND(AE25*Desire_asy*(1-SUM($BA$5:$BC24)/Population),0)</f>
        <v>159621</v>
      </c>
      <c r="AJ25" s="16"/>
      <c r="AK25" s="16">
        <f t="shared" si="35"/>
        <v>1478277</v>
      </c>
      <c r="AL25" s="16">
        <f t="shared" si="13"/>
        <v>1108708</v>
      </c>
      <c r="AM25" s="16">
        <f t="shared" si="27"/>
        <v>369569</v>
      </c>
      <c r="AN25" s="16"/>
      <c r="AO25" s="16">
        <f t="shared" si="36"/>
        <v>9594</v>
      </c>
      <c r="AP25" s="16">
        <f t="shared" si="37"/>
        <v>106586</v>
      </c>
      <c r="AQ25" s="16">
        <f t="shared" si="28"/>
        <v>159621</v>
      </c>
      <c r="AR25" s="16"/>
      <c r="AS25" s="16">
        <f t="shared" si="38"/>
        <v>0</v>
      </c>
      <c r="AT25" s="16">
        <f t="shared" si="38"/>
        <v>0</v>
      </c>
      <c r="AU25" s="16">
        <f t="shared" si="38"/>
        <v>0</v>
      </c>
      <c r="AV25" s="16"/>
      <c r="AW25" s="16">
        <f t="shared" si="29"/>
        <v>0</v>
      </c>
      <c r="AX25" s="16">
        <f t="shared" si="15"/>
        <v>0</v>
      </c>
      <c r="AY25" s="16">
        <f t="shared" si="30"/>
        <v>0</v>
      </c>
      <c r="AZ25" s="16"/>
      <c r="BA25" s="16">
        <f t="shared" si="31"/>
        <v>9594</v>
      </c>
      <c r="BB25" s="16">
        <f t="shared" si="31"/>
        <v>106586</v>
      </c>
      <c r="BC25" s="16">
        <f t="shared" si="31"/>
        <v>159621</v>
      </c>
      <c r="BD25" s="16"/>
      <c r="BE25" s="20">
        <f t="shared" si="32"/>
        <v>0.146387345019239</v>
      </c>
      <c r="BF25" s="20">
        <f t="shared" si="32"/>
        <v>3.9538803752992159E-2</v>
      </c>
      <c r="BG25" s="20">
        <f t="shared" si="32"/>
        <v>5.2803840772726698E-4</v>
      </c>
      <c r="BH25" s="16"/>
      <c r="BI25" s="16">
        <f t="shared" si="18"/>
        <v>1140</v>
      </c>
      <c r="BJ25" s="16">
        <f t="shared" si="19"/>
        <v>3576</v>
      </c>
      <c r="BK25" s="16">
        <f t="shared" si="20"/>
        <v>386</v>
      </c>
      <c r="BL25" s="16"/>
      <c r="BM25" s="16">
        <f t="shared" si="33"/>
        <v>5102</v>
      </c>
      <c r="BN25" s="22">
        <f t="shared" si="39"/>
        <v>0.61079851550341191</v>
      </c>
      <c r="BO25" s="19">
        <f t="shared" si="40"/>
        <v>1.8498845181852134E-2</v>
      </c>
    </row>
    <row r="26" spans="1:67" s="9" customFormat="1" ht="13" customHeight="1" x14ac:dyDescent="0.15">
      <c r="A26" s="15" t="s">
        <v>48</v>
      </c>
      <c r="B26" s="23">
        <v>1</v>
      </c>
      <c r="D26" s="38">
        <f t="shared" si="34"/>
        <v>21</v>
      </c>
      <c r="E26" s="41">
        <f t="shared" si="21"/>
        <v>43936</v>
      </c>
      <c r="F26" s="16"/>
      <c r="G26" s="17">
        <f t="shared" si="22"/>
        <v>0.60361317747077581</v>
      </c>
      <c r="H26" s="40">
        <f t="shared" si="0"/>
        <v>522.13271890435738</v>
      </c>
      <c r="I26" s="16">
        <f t="shared" si="23"/>
        <v>10351</v>
      </c>
      <c r="J26" s="16">
        <f>SUM(I$5:I26)</f>
        <v>938176</v>
      </c>
      <c r="K26" s="16"/>
      <c r="L26" s="18">
        <f t="shared" ca="1" si="24"/>
        <v>0.61079851550341191</v>
      </c>
      <c r="M26" s="40">
        <f t="shared" ca="1" si="1"/>
        <v>137.9041687497284</v>
      </c>
      <c r="N26" s="16">
        <f t="shared" ca="1" si="2"/>
        <v>8353</v>
      </c>
      <c r="O26" s="16">
        <f ca="1">SUM(N$5:N26)</f>
        <v>200472</v>
      </c>
      <c r="P26" s="16"/>
      <c r="Q26" s="19">
        <f t="shared" ca="1" si="25"/>
        <v>0.21368272051299542</v>
      </c>
      <c r="R26" s="16"/>
      <c r="S26" s="16">
        <f t="shared" ca="1" si="3"/>
        <v>289046</v>
      </c>
      <c r="T26" s="19">
        <f t="shared" ca="1" si="26"/>
        <v>2.8898514423309783E-2</v>
      </c>
      <c r="U26" s="35"/>
      <c r="V26" s="30">
        <f t="shared" si="4"/>
        <v>0.7</v>
      </c>
      <c r="W26" s="16">
        <f t="shared" si="5"/>
        <v>9061824</v>
      </c>
      <c r="X26" s="16"/>
      <c r="Y26" s="16">
        <f t="shared" si="6"/>
        <v>1035</v>
      </c>
      <c r="Z26" s="16">
        <f t="shared" si="7"/>
        <v>6211</v>
      </c>
      <c r="AA26" s="16">
        <f t="shared" si="8"/>
        <v>3105</v>
      </c>
      <c r="AB26" s="16"/>
      <c r="AC26" s="16">
        <f t="shared" si="9"/>
        <v>11025</v>
      </c>
      <c r="AD26" s="16">
        <f t="shared" si="10"/>
        <v>255952</v>
      </c>
      <c r="AE26" s="16">
        <f t="shared" si="11"/>
        <v>9733023</v>
      </c>
      <c r="AF26" s="16"/>
      <c r="AG26" s="16">
        <f>ROUND(AC26*Desire_severe*(1-SUM($BA$5:$BC25)/Population),0)</f>
        <v>8741</v>
      </c>
      <c r="AH26" s="16">
        <f>ROUND(AD26*Desire_mild*(1-SUM($BA$5:$BC25)/Population),0)</f>
        <v>101459</v>
      </c>
      <c r="AI26" s="16">
        <f>ROUND(AE26*Desire_asy*(1-SUM($BA$5:$BC25)/Population),0)</f>
        <v>154327</v>
      </c>
      <c r="AJ26" s="16"/>
      <c r="AK26" s="16">
        <f t="shared" si="35"/>
        <v>2217416</v>
      </c>
      <c r="AL26" s="16">
        <f t="shared" si="13"/>
        <v>1663062</v>
      </c>
      <c r="AM26" s="16">
        <f t="shared" si="27"/>
        <v>554354</v>
      </c>
      <c r="AN26" s="16"/>
      <c r="AO26" s="16">
        <f t="shared" si="36"/>
        <v>8741</v>
      </c>
      <c r="AP26" s="16">
        <f t="shared" si="37"/>
        <v>101459</v>
      </c>
      <c r="AQ26" s="16">
        <f t="shared" si="28"/>
        <v>154327</v>
      </c>
      <c r="AR26" s="16"/>
      <c r="AS26" s="16">
        <f t="shared" si="38"/>
        <v>0</v>
      </c>
      <c r="AT26" s="16">
        <f t="shared" si="38"/>
        <v>0</v>
      </c>
      <c r="AU26" s="16">
        <f t="shared" si="38"/>
        <v>0</v>
      </c>
      <c r="AV26" s="16"/>
      <c r="AW26" s="16">
        <f t="shared" si="29"/>
        <v>0</v>
      </c>
      <c r="AX26" s="16">
        <f t="shared" si="15"/>
        <v>0</v>
      </c>
      <c r="AY26" s="16">
        <f t="shared" si="30"/>
        <v>0</v>
      </c>
      <c r="AZ26" s="16"/>
      <c r="BA26" s="16">
        <f t="shared" si="31"/>
        <v>8741</v>
      </c>
      <c r="BB26" s="16">
        <f t="shared" si="31"/>
        <v>101459</v>
      </c>
      <c r="BC26" s="16">
        <f t="shared" si="31"/>
        <v>154327</v>
      </c>
      <c r="BD26" s="16"/>
      <c r="BE26" s="20">
        <f t="shared" si="32"/>
        <v>9.3877551020408165E-2</v>
      </c>
      <c r="BF26" s="20">
        <f t="shared" si="32"/>
        <v>2.4266268675376634E-2</v>
      </c>
      <c r="BG26" s="20">
        <f t="shared" si="32"/>
        <v>3.1901702071391387E-4</v>
      </c>
      <c r="BH26" s="16"/>
      <c r="BI26" s="16">
        <f t="shared" si="18"/>
        <v>672</v>
      </c>
      <c r="BJ26" s="16">
        <f t="shared" si="19"/>
        <v>2168</v>
      </c>
      <c r="BK26" s="16">
        <f t="shared" si="20"/>
        <v>348</v>
      </c>
      <c r="BL26" s="16"/>
      <c r="BM26" s="16">
        <f t="shared" si="33"/>
        <v>3188</v>
      </c>
      <c r="BN26" s="22">
        <f t="shared" si="39"/>
        <v>0.62485299882399059</v>
      </c>
      <c r="BO26" s="19">
        <f t="shared" si="40"/>
        <v>1.2051699826482741E-2</v>
      </c>
    </row>
    <row r="27" spans="1:67" s="9" customFormat="1" ht="13" customHeight="1" x14ac:dyDescent="0.15">
      <c r="A27" s="15" t="s">
        <v>49</v>
      </c>
      <c r="B27" s="23">
        <v>0.5</v>
      </c>
      <c r="D27" s="38">
        <f t="shared" si="34"/>
        <v>22</v>
      </c>
      <c r="E27" s="41">
        <f t="shared" si="21"/>
        <v>43941</v>
      </c>
      <c r="F27" s="16"/>
      <c r="G27" s="17">
        <f t="shared" si="22"/>
        <v>0.60307298335467352</v>
      </c>
      <c r="H27" s="40">
        <f t="shared" si="0"/>
        <v>870.39524351230739</v>
      </c>
      <c r="I27" s="16">
        <f t="shared" si="23"/>
        <v>6248</v>
      </c>
      <c r="J27" s="16">
        <f>SUM(I$5:I27)</f>
        <v>944424</v>
      </c>
      <c r="K27" s="16"/>
      <c r="L27" s="18">
        <f t="shared" ca="1" si="24"/>
        <v>0.62485299882399059</v>
      </c>
      <c r="M27" s="40">
        <f t="shared" ca="1" si="1"/>
        <v>225.21185904872695</v>
      </c>
      <c r="N27" s="16">
        <f t="shared" ca="1" si="2"/>
        <v>5102</v>
      </c>
      <c r="O27" s="16">
        <f ca="1">SUM(N$5:N27)</f>
        <v>205574</v>
      </c>
      <c r="P27" s="16"/>
      <c r="Q27" s="19">
        <f t="shared" ca="1" si="25"/>
        <v>0.21767130017873329</v>
      </c>
      <c r="R27" s="16"/>
      <c r="S27" s="16">
        <f t="shared" ca="1" si="3"/>
        <v>275801</v>
      </c>
      <c r="T27" s="19">
        <f t="shared" ca="1" si="26"/>
        <v>1.8498845181852134E-2</v>
      </c>
      <c r="U27" s="35"/>
      <c r="V27" s="30">
        <f t="shared" si="4"/>
        <v>0.7</v>
      </c>
      <c r="W27" s="16">
        <f t="shared" si="5"/>
        <v>9055576</v>
      </c>
      <c r="X27" s="16"/>
      <c r="Y27" s="16">
        <f t="shared" si="6"/>
        <v>625</v>
      </c>
      <c r="Z27" s="16">
        <f t="shared" si="7"/>
        <v>3749</v>
      </c>
      <c r="AA27" s="16">
        <f t="shared" si="8"/>
        <v>1874</v>
      </c>
      <c r="AB27" s="16"/>
      <c r="AC27" s="16">
        <f t="shared" si="9"/>
        <v>10619</v>
      </c>
      <c r="AD27" s="16">
        <f t="shared" si="10"/>
        <v>253593</v>
      </c>
      <c r="AE27" s="16">
        <f t="shared" si="11"/>
        <v>9735788</v>
      </c>
      <c r="AF27" s="16"/>
      <c r="AG27" s="16">
        <f>ROUND(AC27*Desire_severe*(1-SUM($BA$5:$BC26)/Population),0)</f>
        <v>8138</v>
      </c>
      <c r="AH27" s="16">
        <f>ROUND(AD27*Desire_mild*(1-SUM($BA$5:$BC26)/Population),0)</f>
        <v>97170</v>
      </c>
      <c r="AI27" s="16">
        <f>ROUND(AE27*Desire_asy*(1-SUM($BA$5:$BC26)/Population),0)</f>
        <v>149220</v>
      </c>
      <c r="AJ27" s="16"/>
      <c r="AK27" s="16">
        <f t="shared" si="35"/>
        <v>3326124</v>
      </c>
      <c r="AL27" s="16">
        <f t="shared" si="13"/>
        <v>2494593</v>
      </c>
      <c r="AM27" s="16">
        <f t="shared" si="27"/>
        <v>831531</v>
      </c>
      <c r="AN27" s="16"/>
      <c r="AO27" s="16">
        <f t="shared" si="36"/>
        <v>8138</v>
      </c>
      <c r="AP27" s="16">
        <f t="shared" si="37"/>
        <v>97170</v>
      </c>
      <c r="AQ27" s="16">
        <f t="shared" si="28"/>
        <v>149220</v>
      </c>
      <c r="AR27" s="16"/>
      <c r="AS27" s="16">
        <f t="shared" si="38"/>
        <v>0</v>
      </c>
      <c r="AT27" s="16">
        <f t="shared" si="38"/>
        <v>0</v>
      </c>
      <c r="AU27" s="16">
        <f t="shared" si="38"/>
        <v>0</v>
      </c>
      <c r="AV27" s="16"/>
      <c r="AW27" s="16">
        <f t="shared" si="29"/>
        <v>0</v>
      </c>
      <c r="AX27" s="16">
        <f t="shared" si="15"/>
        <v>0</v>
      </c>
      <c r="AY27" s="16">
        <f t="shared" si="30"/>
        <v>0</v>
      </c>
      <c r="AZ27" s="16"/>
      <c r="BA27" s="16">
        <f t="shared" si="31"/>
        <v>8138</v>
      </c>
      <c r="BB27" s="16">
        <f t="shared" si="31"/>
        <v>97170</v>
      </c>
      <c r="BC27" s="16">
        <f t="shared" si="31"/>
        <v>149220</v>
      </c>
      <c r="BD27" s="16"/>
      <c r="BE27" s="20">
        <f t="shared" si="32"/>
        <v>5.8856766173839344E-2</v>
      </c>
      <c r="BF27" s="20">
        <f t="shared" si="32"/>
        <v>1.4783531091157879E-2</v>
      </c>
      <c r="BG27" s="20">
        <f t="shared" si="32"/>
        <v>1.924857032630538E-4</v>
      </c>
      <c r="BH27" s="16"/>
      <c r="BI27" s="16">
        <f t="shared" si="18"/>
        <v>398</v>
      </c>
      <c r="BJ27" s="16">
        <f t="shared" si="19"/>
        <v>1340</v>
      </c>
      <c r="BK27" s="16">
        <f t="shared" si="20"/>
        <v>321</v>
      </c>
      <c r="BL27" s="16"/>
      <c r="BM27" s="16">
        <f t="shared" si="33"/>
        <v>2059</v>
      </c>
      <c r="BN27" s="22">
        <f t="shared" si="39"/>
        <v>0.64585947302383939</v>
      </c>
      <c r="BO27" s="19">
        <f t="shared" si="40"/>
        <v>8.0894832788534071E-3</v>
      </c>
    </row>
    <row r="28" spans="1:67" s="9" customFormat="1" ht="13" customHeight="1" x14ac:dyDescent="0.15">
      <c r="A28" s="15" t="s">
        <v>50</v>
      </c>
      <c r="B28" s="23">
        <v>0.02</v>
      </c>
      <c r="D28" s="38">
        <f t="shared" si="34"/>
        <v>23</v>
      </c>
      <c r="E28" s="41">
        <f t="shared" si="21"/>
        <v>43946</v>
      </c>
      <c r="F28" s="16"/>
      <c r="G28" s="17">
        <f t="shared" si="22"/>
        <v>0.60270700636942676</v>
      </c>
      <c r="H28" s="40">
        <f t="shared" si="0"/>
        <v>1448.7524576091473</v>
      </c>
      <c r="I28" s="16">
        <f t="shared" si="23"/>
        <v>3768</v>
      </c>
      <c r="J28" s="16">
        <f>SUM(I$5:I28)</f>
        <v>948192</v>
      </c>
      <c r="K28" s="16"/>
      <c r="L28" s="18">
        <f t="shared" ca="1" si="24"/>
        <v>0.64585947302383939</v>
      </c>
      <c r="M28" s="40">
        <f t="shared" ca="1" si="1"/>
        <v>353.12097974535777</v>
      </c>
      <c r="N28" s="16">
        <f t="shared" ca="1" si="2"/>
        <v>3188</v>
      </c>
      <c r="O28" s="16">
        <f ca="1">SUM(N$5:N28)</f>
        <v>208762</v>
      </c>
      <c r="P28" s="16"/>
      <c r="Q28" s="19">
        <f t="shared" ca="1" si="25"/>
        <v>0.22016848908237993</v>
      </c>
      <c r="R28" s="16"/>
      <c r="S28" s="16">
        <f t="shared" ca="1" si="3"/>
        <v>264527</v>
      </c>
      <c r="T28" s="19">
        <f t="shared" ca="1" si="26"/>
        <v>1.2051699826482741E-2</v>
      </c>
      <c r="U28" s="35"/>
      <c r="V28" s="30">
        <f t="shared" si="4"/>
        <v>0.7</v>
      </c>
      <c r="W28" s="16">
        <f t="shared" si="5"/>
        <v>9051808</v>
      </c>
      <c r="X28" s="16"/>
      <c r="Y28" s="16">
        <f t="shared" si="6"/>
        <v>377</v>
      </c>
      <c r="Z28" s="16">
        <f t="shared" si="7"/>
        <v>2261</v>
      </c>
      <c r="AA28" s="16">
        <f t="shared" si="8"/>
        <v>1130</v>
      </c>
      <c r="AB28" s="16"/>
      <c r="AC28" s="16">
        <f t="shared" si="9"/>
        <v>10373</v>
      </c>
      <c r="AD28" s="16">
        <f t="shared" si="10"/>
        <v>252167</v>
      </c>
      <c r="AE28" s="16">
        <f t="shared" si="11"/>
        <v>9737460</v>
      </c>
      <c r="AF28" s="16"/>
      <c r="AG28" s="16">
        <f>ROUND(AC28*Desire_severe*(1-SUM($BA$5:$BC27)/Population),0)</f>
        <v>7685</v>
      </c>
      <c r="AH28" s="16">
        <f>ROUND(AD28*Desire_mild*(1-SUM($BA$5:$BC27)/Population),0)</f>
        <v>93414</v>
      </c>
      <c r="AI28" s="16">
        <f>ROUND(AE28*Desire_asy*(1-SUM($BA$5:$BC27)/Population),0)</f>
        <v>144288</v>
      </c>
      <c r="AJ28" s="16"/>
      <c r="AK28" s="16">
        <f t="shared" si="35"/>
        <v>4989186</v>
      </c>
      <c r="AL28" s="16">
        <f t="shared" si="13"/>
        <v>3741890</v>
      </c>
      <c r="AM28" s="16">
        <f t="shared" si="27"/>
        <v>1247296</v>
      </c>
      <c r="AN28" s="16"/>
      <c r="AO28" s="16">
        <f t="shared" si="36"/>
        <v>7685</v>
      </c>
      <c r="AP28" s="16">
        <f t="shared" si="37"/>
        <v>93414</v>
      </c>
      <c r="AQ28" s="16">
        <f t="shared" si="28"/>
        <v>144288</v>
      </c>
      <c r="AR28" s="16"/>
      <c r="AS28" s="16">
        <f t="shared" si="38"/>
        <v>0</v>
      </c>
      <c r="AT28" s="16">
        <f t="shared" si="38"/>
        <v>0</v>
      </c>
      <c r="AU28" s="16">
        <f t="shared" si="38"/>
        <v>0</v>
      </c>
      <c r="AV28" s="16"/>
      <c r="AW28" s="16">
        <f t="shared" si="29"/>
        <v>0</v>
      </c>
      <c r="AX28" s="16">
        <f t="shared" si="15"/>
        <v>0</v>
      </c>
      <c r="AY28" s="16">
        <f t="shared" si="30"/>
        <v>0</v>
      </c>
      <c r="AZ28" s="16"/>
      <c r="BA28" s="16">
        <f t="shared" si="31"/>
        <v>7685</v>
      </c>
      <c r="BB28" s="16">
        <f t="shared" si="31"/>
        <v>93414</v>
      </c>
      <c r="BC28" s="16">
        <f t="shared" si="31"/>
        <v>144288</v>
      </c>
      <c r="BD28" s="16"/>
      <c r="BE28" s="20">
        <f t="shared" si="32"/>
        <v>3.6344355538417042E-2</v>
      </c>
      <c r="BF28" s="20">
        <f t="shared" si="32"/>
        <v>8.9662802825111933E-3</v>
      </c>
      <c r="BG28" s="20">
        <f t="shared" si="32"/>
        <v>1.1604668979384767E-4</v>
      </c>
      <c r="BH28" s="16"/>
      <c r="BI28" s="16">
        <f t="shared" si="18"/>
        <v>238</v>
      </c>
      <c r="BJ28" s="16">
        <f t="shared" si="19"/>
        <v>855</v>
      </c>
      <c r="BK28" s="16">
        <f t="shared" si="20"/>
        <v>302</v>
      </c>
      <c r="BL28" s="16"/>
      <c r="BM28" s="16">
        <f t="shared" si="33"/>
        <v>1395</v>
      </c>
      <c r="BN28" s="22">
        <f t="shared" si="39"/>
        <v>0.67751335599805729</v>
      </c>
      <c r="BO28" s="19">
        <f t="shared" si="40"/>
        <v>5.684897732968739E-3</v>
      </c>
    </row>
    <row r="29" spans="1:67" s="9" customFormat="1" ht="13" customHeight="1" x14ac:dyDescent="0.15">
      <c r="B29" s="8"/>
      <c r="D29" s="38">
        <f t="shared" si="34"/>
        <v>24</v>
      </c>
      <c r="E29" s="41">
        <f t="shared" si="21"/>
        <v>43951</v>
      </c>
      <c r="F29" s="16"/>
      <c r="G29" s="17">
        <f t="shared" si="22"/>
        <v>0.60237780713342137</v>
      </c>
      <c r="H29" s="40">
        <f t="shared" si="0"/>
        <v>2409.6664755050983</v>
      </c>
      <c r="I29" s="16">
        <f t="shared" si="23"/>
        <v>2271</v>
      </c>
      <c r="J29" s="16">
        <f>SUM(I$5:I29)</f>
        <v>950463</v>
      </c>
      <c r="K29" s="16"/>
      <c r="L29" s="18">
        <f t="shared" ca="1" si="24"/>
        <v>0.67751335599805729</v>
      </c>
      <c r="M29" s="40">
        <f t="shared" ca="1" si="1"/>
        <v>525.49433864489254</v>
      </c>
      <c r="N29" s="16">
        <f t="shared" ca="1" si="2"/>
        <v>2059</v>
      </c>
      <c r="O29" s="16">
        <f ca="1">SUM(N$5:N29)</f>
        <v>210821</v>
      </c>
      <c r="P29" s="16"/>
      <c r="Q29" s="19">
        <f t="shared" ca="1" si="25"/>
        <v>0.22180873953010269</v>
      </c>
      <c r="R29" s="16"/>
      <c r="S29" s="16">
        <f t="shared" ca="1" si="3"/>
        <v>254528</v>
      </c>
      <c r="T29" s="19">
        <f t="shared" ca="1" si="26"/>
        <v>8.0894832788534071E-3</v>
      </c>
      <c r="U29" s="35"/>
      <c r="V29" s="30">
        <f t="shared" si="4"/>
        <v>0.7</v>
      </c>
      <c r="W29" s="16">
        <f t="shared" si="5"/>
        <v>9049537</v>
      </c>
      <c r="X29" s="16"/>
      <c r="Y29" s="16">
        <f t="shared" si="6"/>
        <v>227</v>
      </c>
      <c r="Z29" s="16">
        <f t="shared" si="7"/>
        <v>1363</v>
      </c>
      <c r="AA29" s="16">
        <f t="shared" si="8"/>
        <v>681</v>
      </c>
      <c r="AB29" s="16"/>
      <c r="AC29" s="16">
        <f t="shared" si="9"/>
        <v>10225</v>
      </c>
      <c r="AD29" s="16">
        <f t="shared" si="10"/>
        <v>251306</v>
      </c>
      <c r="AE29" s="16">
        <f t="shared" si="11"/>
        <v>9738469</v>
      </c>
      <c r="AF29" s="16"/>
      <c r="AG29" s="16">
        <f>ROUND(AC29*Desire_severe*(1-SUM($BA$5:$BC28)/Population),0)</f>
        <v>7325</v>
      </c>
      <c r="AH29" s="16">
        <f>ROUND(AD29*Desire_mild*(1-SUM($BA$5:$BC28)/Population),0)</f>
        <v>90012</v>
      </c>
      <c r="AI29" s="16">
        <f>ROUND(AE29*Desire_asy*(1-SUM($BA$5:$BC28)/Population),0)</f>
        <v>139524</v>
      </c>
      <c r="AJ29" s="16"/>
      <c r="AK29" s="16">
        <f t="shared" si="35"/>
        <v>7483779</v>
      </c>
      <c r="AL29" s="16">
        <f t="shared" si="13"/>
        <v>5612834</v>
      </c>
      <c r="AM29" s="16">
        <f t="shared" si="27"/>
        <v>1870945</v>
      </c>
      <c r="AN29" s="16"/>
      <c r="AO29" s="16">
        <f t="shared" si="36"/>
        <v>7325</v>
      </c>
      <c r="AP29" s="16">
        <f t="shared" si="37"/>
        <v>90012</v>
      </c>
      <c r="AQ29" s="16">
        <f t="shared" si="28"/>
        <v>139524</v>
      </c>
      <c r="AR29" s="16"/>
      <c r="AS29" s="16">
        <f t="shared" si="38"/>
        <v>0</v>
      </c>
      <c r="AT29" s="16">
        <f t="shared" si="38"/>
        <v>0</v>
      </c>
      <c r="AU29" s="16">
        <f t="shared" si="38"/>
        <v>0</v>
      </c>
      <c r="AV29" s="16"/>
      <c r="AW29" s="16">
        <f t="shared" si="29"/>
        <v>0</v>
      </c>
      <c r="AX29" s="16">
        <f t="shared" si="15"/>
        <v>0</v>
      </c>
      <c r="AY29" s="16">
        <f t="shared" si="30"/>
        <v>0</v>
      </c>
      <c r="AZ29" s="16"/>
      <c r="BA29" s="16">
        <f t="shared" si="31"/>
        <v>7325</v>
      </c>
      <c r="BB29" s="16">
        <f t="shared" si="31"/>
        <v>90012</v>
      </c>
      <c r="BC29" s="16">
        <f t="shared" si="31"/>
        <v>139524</v>
      </c>
      <c r="BD29" s="16"/>
      <c r="BE29" s="20">
        <f t="shared" si="32"/>
        <v>2.2200488997555012E-2</v>
      </c>
      <c r="BF29" s="20">
        <f t="shared" si="32"/>
        <v>5.4236667648205773E-3</v>
      </c>
      <c r="BG29" s="20">
        <f t="shared" si="32"/>
        <v>6.9928856373625047E-5</v>
      </c>
      <c r="BH29" s="16"/>
      <c r="BI29" s="16">
        <f t="shared" si="18"/>
        <v>144</v>
      </c>
      <c r="BJ29" s="16">
        <f t="shared" si="19"/>
        <v>570</v>
      </c>
      <c r="BK29" s="16">
        <f t="shared" si="20"/>
        <v>287</v>
      </c>
      <c r="BL29" s="16"/>
      <c r="BM29" s="16">
        <f t="shared" si="33"/>
        <v>1001</v>
      </c>
      <c r="BN29" s="22">
        <f t="shared" si="39"/>
        <v>0.71756272401433696</v>
      </c>
      <c r="BO29" s="19">
        <f t="shared" si="40"/>
        <v>4.2261072949957993E-3</v>
      </c>
    </row>
    <row r="30" spans="1:67" s="9" customFormat="1" ht="13" customHeight="1" x14ac:dyDescent="0.15">
      <c r="A30" s="7" t="s">
        <v>3</v>
      </c>
      <c r="B30" s="8"/>
      <c r="D30" s="38">
        <f t="shared" si="34"/>
        <v>25</v>
      </c>
      <c r="E30" s="41">
        <f t="shared" si="21"/>
        <v>43956</v>
      </c>
      <c r="F30" s="16"/>
      <c r="G30" s="17">
        <f t="shared" si="22"/>
        <v>0.60233918128654973</v>
      </c>
      <c r="H30" s="40">
        <f t="shared" si="0"/>
        <v>4005.1244506790063</v>
      </c>
      <c r="I30" s="16">
        <f t="shared" si="23"/>
        <v>1368</v>
      </c>
      <c r="J30" s="16">
        <f>SUM(I$5:I30)</f>
        <v>951831</v>
      </c>
      <c r="K30" s="16"/>
      <c r="L30" s="18">
        <f t="shared" ca="1" si="24"/>
        <v>0.71756272401433696</v>
      </c>
      <c r="M30" s="40">
        <f t="shared" ca="1" si="1"/>
        <v>736.48136935088758</v>
      </c>
      <c r="N30" s="16">
        <f t="shared" ca="1" si="2"/>
        <v>1395</v>
      </c>
      <c r="O30" s="16">
        <f ca="1">SUM(N$5:N30)</f>
        <v>212216</v>
      </c>
      <c r="P30" s="16"/>
      <c r="Q30" s="19">
        <f t="shared" ca="1" si="25"/>
        <v>0.22295554567985282</v>
      </c>
      <c r="R30" s="16"/>
      <c r="S30" s="16">
        <f t="shared" ca="1" si="3"/>
        <v>245387</v>
      </c>
      <c r="T30" s="19">
        <f t="shared" ca="1" si="26"/>
        <v>5.684897732968739E-3</v>
      </c>
      <c r="U30" s="35"/>
      <c r="V30" s="30">
        <f t="shared" si="4"/>
        <v>0.7</v>
      </c>
      <c r="W30" s="16">
        <f t="shared" si="5"/>
        <v>9048169</v>
      </c>
      <c r="X30" s="16"/>
      <c r="Y30" s="16">
        <f t="shared" si="6"/>
        <v>137</v>
      </c>
      <c r="Z30" s="16">
        <f t="shared" si="7"/>
        <v>821</v>
      </c>
      <c r="AA30" s="16">
        <f t="shared" si="8"/>
        <v>410</v>
      </c>
      <c r="AB30" s="16"/>
      <c r="AC30" s="16">
        <f t="shared" si="9"/>
        <v>10136</v>
      </c>
      <c r="AD30" s="16">
        <f t="shared" si="10"/>
        <v>250787</v>
      </c>
      <c r="AE30" s="16">
        <f t="shared" si="11"/>
        <v>9739077</v>
      </c>
      <c r="AF30" s="16"/>
      <c r="AG30" s="16">
        <f>ROUND(AC30*Desire_severe*(1-SUM($BA$5:$BC29)/Population),0)</f>
        <v>7021</v>
      </c>
      <c r="AH30" s="16">
        <f>ROUND(AD30*Desire_mild*(1-SUM($BA$5:$BC29)/Population),0)</f>
        <v>86856</v>
      </c>
      <c r="AI30" s="16">
        <f>ROUND(AE30*Desire_asy*(1-SUM($BA$5:$BC29)/Population),0)</f>
        <v>134919</v>
      </c>
      <c r="AJ30" s="16"/>
      <c r="AK30" s="16">
        <f t="shared" si="35"/>
        <v>10000000</v>
      </c>
      <c r="AL30" s="16">
        <f t="shared" si="13"/>
        <v>7500000</v>
      </c>
      <c r="AM30" s="16">
        <f t="shared" si="27"/>
        <v>2500000</v>
      </c>
      <c r="AN30" s="16"/>
      <c r="AO30" s="16">
        <f t="shared" si="36"/>
        <v>7021</v>
      </c>
      <c r="AP30" s="16">
        <f t="shared" si="37"/>
        <v>86856</v>
      </c>
      <c r="AQ30" s="16">
        <f t="shared" si="28"/>
        <v>134919</v>
      </c>
      <c r="AR30" s="16"/>
      <c r="AS30" s="16">
        <f t="shared" si="38"/>
        <v>0</v>
      </c>
      <c r="AT30" s="16">
        <f t="shared" si="38"/>
        <v>0</v>
      </c>
      <c r="AU30" s="16">
        <f t="shared" si="38"/>
        <v>0</v>
      </c>
      <c r="AV30" s="16"/>
      <c r="AW30" s="16">
        <f t="shared" si="29"/>
        <v>0</v>
      </c>
      <c r="AX30" s="16">
        <f t="shared" si="15"/>
        <v>0</v>
      </c>
      <c r="AY30" s="16">
        <f t="shared" si="30"/>
        <v>0</v>
      </c>
      <c r="AZ30" s="16"/>
      <c r="BA30" s="16">
        <f t="shared" si="31"/>
        <v>7021</v>
      </c>
      <c r="BB30" s="16">
        <f t="shared" si="31"/>
        <v>86856</v>
      </c>
      <c r="BC30" s="16">
        <f t="shared" si="31"/>
        <v>134919</v>
      </c>
      <c r="BD30" s="16"/>
      <c r="BE30" s="20">
        <f t="shared" si="32"/>
        <v>1.3516179952644041E-2</v>
      </c>
      <c r="BF30" s="20">
        <f t="shared" si="32"/>
        <v>3.2736944099973284E-3</v>
      </c>
      <c r="BG30" s="20">
        <f t="shared" si="32"/>
        <v>4.2098445263344772E-5</v>
      </c>
      <c r="BH30" s="16"/>
      <c r="BI30" s="16">
        <f t="shared" si="18"/>
        <v>90</v>
      </c>
      <c r="BJ30" s="16">
        <f t="shared" si="19"/>
        <v>400</v>
      </c>
      <c r="BK30" s="16">
        <f t="shared" si="20"/>
        <v>275</v>
      </c>
      <c r="BL30" s="16"/>
      <c r="BM30" s="16">
        <f t="shared" si="33"/>
        <v>765</v>
      </c>
      <c r="BN30" s="22">
        <f t="shared" si="39"/>
        <v>0.76423576423576423</v>
      </c>
      <c r="BO30" s="19">
        <f t="shared" si="40"/>
        <v>3.3435899229007499E-3</v>
      </c>
    </row>
    <row r="31" spans="1:67" s="9" customFormat="1" ht="13" customHeight="1" x14ac:dyDescent="0.15">
      <c r="A31" s="15" t="s">
        <v>51</v>
      </c>
      <c r="B31" s="25">
        <v>1000</v>
      </c>
      <c r="D31" s="38">
        <f t="shared" si="34"/>
        <v>26</v>
      </c>
      <c r="E31" s="41">
        <f t="shared" si="21"/>
        <v>43961</v>
      </c>
      <c r="F31" s="16"/>
      <c r="G31" s="17">
        <f t="shared" si="22"/>
        <v>0.60194174757281549</v>
      </c>
      <c r="H31" s="40">
        <f t="shared" si="0"/>
        <v>6658.2864202056226</v>
      </c>
      <c r="I31" s="16">
        <f t="shared" si="23"/>
        <v>824</v>
      </c>
      <c r="J31" s="16">
        <f>SUM(I$5:I31)</f>
        <v>952655</v>
      </c>
      <c r="K31" s="16"/>
      <c r="L31" s="18">
        <f t="shared" ca="1" si="24"/>
        <v>0.76423576423576423</v>
      </c>
      <c r="M31" s="40">
        <f t="shared" ca="1" si="1"/>
        <v>967.68452898984697</v>
      </c>
      <c r="N31" s="16">
        <f t="shared" ca="1" si="2"/>
        <v>1001</v>
      </c>
      <c r="O31" s="16">
        <f ca="1">SUM(N$5:N31)</f>
        <v>213217</v>
      </c>
      <c r="P31" s="16"/>
      <c r="Q31" s="19">
        <f t="shared" ca="1" si="25"/>
        <v>0.22381344768042996</v>
      </c>
      <c r="R31" s="16"/>
      <c r="S31" s="16">
        <f t="shared" ca="1" si="3"/>
        <v>236861</v>
      </c>
      <c r="T31" s="19">
        <f t="shared" ca="1" si="26"/>
        <v>4.2261072949957993E-3</v>
      </c>
      <c r="U31" s="35"/>
      <c r="V31" s="30">
        <f t="shared" si="4"/>
        <v>0.7</v>
      </c>
      <c r="W31" s="16">
        <f t="shared" si="5"/>
        <v>9047345</v>
      </c>
      <c r="X31" s="16"/>
      <c r="Y31" s="16">
        <f t="shared" si="6"/>
        <v>82</v>
      </c>
      <c r="Z31" s="16">
        <f t="shared" si="7"/>
        <v>494</v>
      </c>
      <c r="AA31" s="16">
        <f t="shared" si="8"/>
        <v>248</v>
      </c>
      <c r="AB31" s="16"/>
      <c r="AC31" s="16">
        <f t="shared" si="9"/>
        <v>10081</v>
      </c>
      <c r="AD31" s="16">
        <f t="shared" si="10"/>
        <v>250473</v>
      </c>
      <c r="AE31" s="16">
        <f t="shared" si="11"/>
        <v>9739446</v>
      </c>
      <c r="AF31" s="16"/>
      <c r="AG31" s="16">
        <f>ROUND(AC31*Desire_severe*(1-SUM($BA$5:$BC30)/Population),0)</f>
        <v>6752</v>
      </c>
      <c r="AH31" s="16">
        <f>ROUND(AD31*Desire_mild*(1-SUM($BA$5:$BC30)/Population),0)</f>
        <v>83882</v>
      </c>
      <c r="AI31" s="16">
        <f>ROUND(AE31*Desire_asy*(1-SUM($BA$5:$BC30)/Population),0)</f>
        <v>130468</v>
      </c>
      <c r="AJ31" s="16"/>
      <c r="AK31" s="16">
        <f t="shared" si="35"/>
        <v>10000000</v>
      </c>
      <c r="AL31" s="16">
        <f t="shared" si="13"/>
        <v>7500000</v>
      </c>
      <c r="AM31" s="16">
        <f t="shared" si="27"/>
        <v>2500000</v>
      </c>
      <c r="AN31" s="16"/>
      <c r="AO31" s="16">
        <f t="shared" si="36"/>
        <v>6752</v>
      </c>
      <c r="AP31" s="16">
        <f t="shared" si="37"/>
        <v>83882</v>
      </c>
      <c r="AQ31" s="16">
        <f t="shared" si="28"/>
        <v>130468</v>
      </c>
      <c r="AR31" s="16"/>
      <c r="AS31" s="16">
        <f t="shared" si="38"/>
        <v>0</v>
      </c>
      <c r="AT31" s="16">
        <f t="shared" si="38"/>
        <v>0</v>
      </c>
      <c r="AU31" s="16">
        <f t="shared" si="38"/>
        <v>0</v>
      </c>
      <c r="AV31" s="16"/>
      <c r="AW31" s="16">
        <f t="shared" si="29"/>
        <v>0</v>
      </c>
      <c r="AX31" s="16">
        <f t="shared" si="15"/>
        <v>0</v>
      </c>
      <c r="AY31" s="16">
        <f t="shared" si="30"/>
        <v>0</v>
      </c>
      <c r="AZ31" s="16"/>
      <c r="BA31" s="16">
        <f t="shared" si="31"/>
        <v>6752</v>
      </c>
      <c r="BB31" s="16">
        <f t="shared" si="31"/>
        <v>83882</v>
      </c>
      <c r="BC31" s="16">
        <f t="shared" si="31"/>
        <v>130468</v>
      </c>
      <c r="BD31" s="16"/>
      <c r="BE31" s="20">
        <f t="shared" si="32"/>
        <v>8.1341136791984927E-3</v>
      </c>
      <c r="BF31" s="20">
        <f t="shared" si="32"/>
        <v>1.9722684680584333E-3</v>
      </c>
      <c r="BG31" s="20">
        <f t="shared" si="32"/>
        <v>2.5463460652690103E-5</v>
      </c>
      <c r="BH31" s="16"/>
      <c r="BI31" s="16">
        <f t="shared" si="18"/>
        <v>57</v>
      </c>
      <c r="BJ31" s="16">
        <f t="shared" si="19"/>
        <v>299</v>
      </c>
      <c r="BK31" s="16">
        <f t="shared" si="20"/>
        <v>264</v>
      </c>
      <c r="BL31" s="16"/>
      <c r="BM31" s="16">
        <f t="shared" si="33"/>
        <v>620</v>
      </c>
      <c r="BN31" s="22">
        <f t="shared" si="39"/>
        <v>0.81045751633986929</v>
      </c>
      <c r="BO31" s="19">
        <f t="shared" si="40"/>
        <v>2.8041356478005625E-3</v>
      </c>
    </row>
    <row r="32" spans="1:67" s="9" customFormat="1" ht="13" customHeight="1" x14ac:dyDescent="0.15">
      <c r="A32" s="15" t="s">
        <v>57</v>
      </c>
      <c r="B32" s="8">
        <v>3</v>
      </c>
      <c r="D32" s="38">
        <f t="shared" si="34"/>
        <v>27</v>
      </c>
      <c r="E32" s="41">
        <f t="shared" si="21"/>
        <v>43966</v>
      </c>
      <c r="F32" s="16"/>
      <c r="G32" s="17">
        <f t="shared" si="22"/>
        <v>0.60282258064516125</v>
      </c>
      <c r="H32" s="40">
        <f t="shared" si="0"/>
        <v>11049.791779003532</v>
      </c>
      <c r="I32" s="16">
        <f t="shared" si="23"/>
        <v>496</v>
      </c>
      <c r="J32" s="16">
        <f>SUM(I$5:I32)</f>
        <v>953151</v>
      </c>
      <c r="K32" s="16"/>
      <c r="L32" s="18">
        <f t="shared" ca="1" si="24"/>
        <v>0.81045751633986929</v>
      </c>
      <c r="M32" s="40">
        <f t="shared" ca="1" si="1"/>
        <v>1197.8692903365322</v>
      </c>
      <c r="N32" s="16">
        <f t="shared" ca="1" si="2"/>
        <v>765</v>
      </c>
      <c r="O32" s="16">
        <f ca="1">SUM(N$5:N32)</f>
        <v>213982</v>
      </c>
      <c r="P32" s="16"/>
      <c r="Q32" s="19">
        <f t="shared" ca="1" si="25"/>
        <v>0.22449958086389249</v>
      </c>
      <c r="R32" s="16"/>
      <c r="S32" s="16">
        <f t="shared" ca="1" si="3"/>
        <v>228796</v>
      </c>
      <c r="T32" s="19">
        <f t="shared" ca="1" si="26"/>
        <v>3.3435899229007499E-3</v>
      </c>
      <c r="U32" s="35"/>
      <c r="V32" s="30">
        <f t="shared" si="4"/>
        <v>0.7</v>
      </c>
      <c r="W32" s="16">
        <f t="shared" si="5"/>
        <v>9046849</v>
      </c>
      <c r="X32" s="16"/>
      <c r="Y32" s="16">
        <f t="shared" si="6"/>
        <v>50</v>
      </c>
      <c r="Z32" s="16">
        <f t="shared" si="7"/>
        <v>298</v>
      </c>
      <c r="AA32" s="16">
        <f t="shared" si="8"/>
        <v>148</v>
      </c>
      <c r="AB32" s="16"/>
      <c r="AC32" s="16">
        <f t="shared" si="9"/>
        <v>10050</v>
      </c>
      <c r="AD32" s="16">
        <f t="shared" si="10"/>
        <v>250286</v>
      </c>
      <c r="AE32" s="16">
        <f t="shared" si="11"/>
        <v>9739664</v>
      </c>
      <c r="AF32" s="16"/>
      <c r="AG32" s="16">
        <f>ROUND(AC32*Desire_severe*(1-SUM($BA$5:$BC31)/Population),0)</f>
        <v>6509</v>
      </c>
      <c r="AH32" s="16">
        <f>ROUND(AD32*Desire_mild*(1-SUM($BA$5:$BC31)/Population),0)</f>
        <v>81052</v>
      </c>
      <c r="AI32" s="16">
        <f>ROUND(AE32*Desire_asy*(1-SUM($BA$5:$BC31)/Population),0)</f>
        <v>126164</v>
      </c>
      <c r="AJ32" s="16"/>
      <c r="AK32" s="16">
        <f t="shared" si="35"/>
        <v>10000000</v>
      </c>
      <c r="AL32" s="16">
        <f t="shared" si="13"/>
        <v>7500000</v>
      </c>
      <c r="AM32" s="16">
        <f t="shared" si="27"/>
        <v>2500000</v>
      </c>
      <c r="AN32" s="16"/>
      <c r="AO32" s="16">
        <f t="shared" si="36"/>
        <v>6509</v>
      </c>
      <c r="AP32" s="16">
        <f t="shared" si="37"/>
        <v>81052</v>
      </c>
      <c r="AQ32" s="16">
        <f t="shared" si="28"/>
        <v>126164</v>
      </c>
      <c r="AR32" s="16"/>
      <c r="AS32" s="16">
        <f t="shared" si="38"/>
        <v>0</v>
      </c>
      <c r="AT32" s="16">
        <f t="shared" si="38"/>
        <v>0</v>
      </c>
      <c r="AU32" s="16">
        <f t="shared" si="38"/>
        <v>0</v>
      </c>
      <c r="AV32" s="16"/>
      <c r="AW32" s="16">
        <f t="shared" si="29"/>
        <v>0</v>
      </c>
      <c r="AX32" s="16">
        <f t="shared" si="15"/>
        <v>0</v>
      </c>
      <c r="AY32" s="16">
        <f t="shared" si="30"/>
        <v>0</v>
      </c>
      <c r="AZ32" s="16"/>
      <c r="BA32" s="16">
        <f t="shared" si="31"/>
        <v>6509</v>
      </c>
      <c r="BB32" s="16">
        <f t="shared" si="31"/>
        <v>81052</v>
      </c>
      <c r="BC32" s="16">
        <f t="shared" si="31"/>
        <v>126164</v>
      </c>
      <c r="BD32" s="16"/>
      <c r="BE32" s="20">
        <f t="shared" si="32"/>
        <v>4.9751243781094526E-3</v>
      </c>
      <c r="BF32" s="20">
        <f t="shared" si="32"/>
        <v>1.1906379102306962E-3</v>
      </c>
      <c r="BG32" s="20">
        <f t="shared" si="32"/>
        <v>1.5195596069843889E-5</v>
      </c>
      <c r="BH32" s="16"/>
      <c r="BI32" s="16">
        <f t="shared" si="18"/>
        <v>39</v>
      </c>
      <c r="BJ32" s="16">
        <f t="shared" si="19"/>
        <v>239</v>
      </c>
      <c r="BK32" s="16">
        <f t="shared" si="20"/>
        <v>254</v>
      </c>
      <c r="BL32" s="16"/>
      <c r="BM32" s="16">
        <f t="shared" si="33"/>
        <v>532</v>
      </c>
      <c r="BN32" s="22">
        <f t="shared" si="39"/>
        <v>0.85806451612903223</v>
      </c>
      <c r="BO32" s="19">
        <f t="shared" si="40"/>
        <v>2.489180021055094E-3</v>
      </c>
    </row>
    <row r="33" spans="1:67" s="9" customFormat="1" ht="13" customHeight="1" x14ac:dyDescent="0.15">
      <c r="A33" s="15" t="s">
        <v>52</v>
      </c>
      <c r="B33" s="23">
        <v>0.5</v>
      </c>
      <c r="D33" s="38">
        <f t="shared" si="34"/>
        <v>28</v>
      </c>
      <c r="E33" s="41">
        <f t="shared" si="21"/>
        <v>43971</v>
      </c>
      <c r="F33" s="16"/>
      <c r="G33" s="17">
        <f t="shared" si="22"/>
        <v>0.60200668896321075</v>
      </c>
      <c r="H33" s="40">
        <f t="shared" si="0"/>
        <v>18359.543349681015</v>
      </c>
      <c r="I33" s="16">
        <f t="shared" si="23"/>
        <v>299</v>
      </c>
      <c r="J33" s="16">
        <f>SUM(I$5:I33)</f>
        <v>953450</v>
      </c>
      <c r="K33" s="16"/>
      <c r="L33" s="18">
        <f t="shared" ca="1" si="24"/>
        <v>0.85806451612903223</v>
      </c>
      <c r="M33" s="40">
        <f t="shared" ca="1" si="1"/>
        <v>1399.7657171814312</v>
      </c>
      <c r="N33" s="16">
        <f t="shared" ca="1" si="2"/>
        <v>620</v>
      </c>
      <c r="O33" s="16">
        <f ca="1">SUM(N$5:N33)</f>
        <v>214602</v>
      </c>
      <c r="P33" s="16"/>
      <c r="Q33" s="19">
        <f t="shared" ca="1" si="25"/>
        <v>0.22507944831926163</v>
      </c>
      <c r="R33" s="16"/>
      <c r="S33" s="16">
        <f t="shared" ca="1" si="3"/>
        <v>221102</v>
      </c>
      <c r="T33" s="19">
        <f t="shared" ca="1" si="26"/>
        <v>2.8041356478005625E-3</v>
      </c>
      <c r="U33" s="35"/>
      <c r="V33" s="30">
        <f t="shared" si="4"/>
        <v>0.7</v>
      </c>
      <c r="W33" s="16">
        <f t="shared" si="5"/>
        <v>9046550</v>
      </c>
      <c r="X33" s="16"/>
      <c r="Y33" s="16">
        <f t="shared" si="6"/>
        <v>30</v>
      </c>
      <c r="Z33" s="16">
        <f t="shared" si="7"/>
        <v>179</v>
      </c>
      <c r="AA33" s="16">
        <f t="shared" si="8"/>
        <v>90</v>
      </c>
      <c r="AB33" s="16"/>
      <c r="AC33" s="16">
        <f t="shared" si="9"/>
        <v>10030</v>
      </c>
      <c r="AD33" s="16">
        <f t="shared" si="10"/>
        <v>250172</v>
      </c>
      <c r="AE33" s="16">
        <f t="shared" si="11"/>
        <v>9739798</v>
      </c>
      <c r="AF33" s="16"/>
      <c r="AG33" s="16">
        <f>ROUND(AC33*Desire_severe*(1-SUM($BA$5:$BC32)/Population),0)</f>
        <v>6282</v>
      </c>
      <c r="AH33" s="16">
        <f>ROUND(AD33*Desire_mild*(1-SUM($BA$5:$BC32)/Population),0)</f>
        <v>78342</v>
      </c>
      <c r="AI33" s="16">
        <f>ROUND(AE33*Desire_asy*(1-SUM($BA$5:$BC32)/Population),0)</f>
        <v>122002</v>
      </c>
      <c r="AJ33" s="16"/>
      <c r="AK33" s="16">
        <f t="shared" si="35"/>
        <v>10000000</v>
      </c>
      <c r="AL33" s="16">
        <f t="shared" si="13"/>
        <v>7500000</v>
      </c>
      <c r="AM33" s="16">
        <f t="shared" si="27"/>
        <v>2500000</v>
      </c>
      <c r="AN33" s="16"/>
      <c r="AO33" s="16">
        <f t="shared" si="36"/>
        <v>6282</v>
      </c>
      <c r="AP33" s="16">
        <f t="shared" si="37"/>
        <v>78342</v>
      </c>
      <c r="AQ33" s="16">
        <f t="shared" si="28"/>
        <v>122002</v>
      </c>
      <c r="AR33" s="16"/>
      <c r="AS33" s="16">
        <f t="shared" si="38"/>
        <v>0</v>
      </c>
      <c r="AT33" s="16">
        <f t="shared" si="38"/>
        <v>0</v>
      </c>
      <c r="AU33" s="16">
        <f t="shared" si="38"/>
        <v>0</v>
      </c>
      <c r="AV33" s="16"/>
      <c r="AW33" s="16">
        <f t="shared" si="29"/>
        <v>0</v>
      </c>
      <c r="AX33" s="16">
        <f t="shared" si="15"/>
        <v>0</v>
      </c>
      <c r="AY33" s="16">
        <f t="shared" si="30"/>
        <v>0</v>
      </c>
      <c r="AZ33" s="16"/>
      <c r="BA33" s="16">
        <f t="shared" si="31"/>
        <v>6282</v>
      </c>
      <c r="BB33" s="16">
        <f t="shared" si="31"/>
        <v>78342</v>
      </c>
      <c r="BC33" s="16">
        <f t="shared" si="31"/>
        <v>122002</v>
      </c>
      <c r="BD33" s="16"/>
      <c r="BE33" s="20">
        <f t="shared" si="32"/>
        <v>2.9910269192422734E-3</v>
      </c>
      <c r="BF33" s="20">
        <f t="shared" si="32"/>
        <v>7.1550773068129129E-4</v>
      </c>
      <c r="BG33" s="20">
        <f t="shared" si="32"/>
        <v>9.2404380460457184E-6</v>
      </c>
      <c r="BH33" s="16"/>
      <c r="BI33" s="16">
        <f t="shared" si="18"/>
        <v>28</v>
      </c>
      <c r="BJ33" s="16">
        <f t="shared" si="19"/>
        <v>202</v>
      </c>
      <c r="BK33" s="16">
        <f t="shared" si="20"/>
        <v>245</v>
      </c>
      <c r="BL33" s="16"/>
      <c r="BM33" s="16">
        <f t="shared" si="33"/>
        <v>475</v>
      </c>
      <c r="BN33" s="22">
        <f t="shared" si="39"/>
        <v>0.8928571428571429</v>
      </c>
      <c r="BO33" s="19">
        <f t="shared" si="40"/>
        <v>2.2988394490528782E-3</v>
      </c>
    </row>
    <row r="34" spans="1:67" s="9" customFormat="1" ht="13" customHeight="1" x14ac:dyDescent="0.15">
      <c r="A34" s="15" t="s">
        <v>53</v>
      </c>
      <c r="B34" s="25">
        <v>10000000</v>
      </c>
      <c r="D34" s="38">
        <f t="shared" si="34"/>
        <v>29</v>
      </c>
      <c r="E34" s="41">
        <f t="shared" si="21"/>
        <v>43976</v>
      </c>
      <c r="F34" s="16"/>
      <c r="G34" s="17">
        <f t="shared" si="22"/>
        <v>0.6</v>
      </c>
      <c r="H34" s="40">
        <f t="shared" si="0"/>
        <v>30603.859955523189</v>
      </c>
      <c r="I34" s="16">
        <f t="shared" si="23"/>
        <v>180</v>
      </c>
      <c r="J34" s="16">
        <f>SUM(I$5:I34)</f>
        <v>953630</v>
      </c>
      <c r="K34" s="16"/>
      <c r="L34" s="18">
        <f t="shared" ca="1" si="24"/>
        <v>0.8928571428571429</v>
      </c>
      <c r="M34" s="40">
        <f t="shared" ca="1" si="1"/>
        <v>1571.4114472179608</v>
      </c>
      <c r="N34" s="16">
        <f t="shared" ca="1" si="2"/>
        <v>532</v>
      </c>
      <c r="O34" s="16">
        <f ca="1">SUM(N$5:N34)</f>
        <v>215134</v>
      </c>
      <c r="P34" s="16"/>
      <c r="Q34" s="19">
        <f t="shared" ca="1" si="25"/>
        <v>0.22559483237733713</v>
      </c>
      <c r="R34" s="16"/>
      <c r="S34" s="16">
        <f t="shared" ca="1" si="3"/>
        <v>213725</v>
      </c>
      <c r="T34" s="19">
        <f t="shared" ca="1" si="26"/>
        <v>2.489180021055094E-3</v>
      </c>
      <c r="U34" s="35"/>
      <c r="V34" s="30">
        <f t="shared" si="4"/>
        <v>0.7</v>
      </c>
      <c r="W34" s="16">
        <f t="shared" si="5"/>
        <v>9046370</v>
      </c>
      <c r="X34" s="16"/>
      <c r="Y34" s="16">
        <f t="shared" si="6"/>
        <v>18</v>
      </c>
      <c r="Z34" s="16">
        <f t="shared" si="7"/>
        <v>108</v>
      </c>
      <c r="AA34" s="16">
        <f t="shared" si="8"/>
        <v>54</v>
      </c>
      <c r="AB34" s="16"/>
      <c r="AC34" s="16">
        <f t="shared" si="9"/>
        <v>10018</v>
      </c>
      <c r="AD34" s="16">
        <f t="shared" si="10"/>
        <v>250104</v>
      </c>
      <c r="AE34" s="16">
        <f t="shared" si="11"/>
        <v>9739878</v>
      </c>
      <c r="AF34" s="16"/>
      <c r="AG34" s="16">
        <f>ROUND(AC34*Desire_severe*(1-SUM($BA$5:$BC33)/Population),0)</f>
        <v>6067</v>
      </c>
      <c r="AH34" s="16">
        <f>ROUND(AD34*Desire_mild*(1-SUM($BA$5:$BC33)/Population),0)</f>
        <v>75737</v>
      </c>
      <c r="AI34" s="16">
        <f>ROUND(AE34*Desire_asy*(1-SUM($BA$5:$BC33)/Population),0)</f>
        <v>117978</v>
      </c>
      <c r="AJ34" s="16"/>
      <c r="AK34" s="16">
        <f t="shared" si="35"/>
        <v>10000000</v>
      </c>
      <c r="AL34" s="16">
        <f t="shared" si="13"/>
        <v>7500000</v>
      </c>
      <c r="AM34" s="16">
        <f t="shared" si="27"/>
        <v>2500000</v>
      </c>
      <c r="AN34" s="16"/>
      <c r="AO34" s="16">
        <f t="shared" si="36"/>
        <v>6067</v>
      </c>
      <c r="AP34" s="16">
        <f t="shared" si="37"/>
        <v>75737</v>
      </c>
      <c r="AQ34" s="16">
        <f t="shared" si="28"/>
        <v>117978</v>
      </c>
      <c r="AR34" s="16"/>
      <c r="AS34" s="16">
        <f t="shared" si="38"/>
        <v>0</v>
      </c>
      <c r="AT34" s="16">
        <f t="shared" si="38"/>
        <v>0</v>
      </c>
      <c r="AU34" s="16">
        <f t="shared" si="38"/>
        <v>0</v>
      </c>
      <c r="AV34" s="16"/>
      <c r="AW34" s="16">
        <f t="shared" si="29"/>
        <v>0</v>
      </c>
      <c r="AX34" s="16">
        <f t="shared" si="15"/>
        <v>0</v>
      </c>
      <c r="AY34" s="16">
        <f t="shared" si="30"/>
        <v>0</v>
      </c>
      <c r="AZ34" s="16"/>
      <c r="BA34" s="16">
        <f t="shared" si="31"/>
        <v>6067</v>
      </c>
      <c r="BB34" s="16">
        <f t="shared" si="31"/>
        <v>75737</v>
      </c>
      <c r="BC34" s="16">
        <f t="shared" si="31"/>
        <v>117978</v>
      </c>
      <c r="BD34" s="16"/>
      <c r="BE34" s="20">
        <f t="shared" si="32"/>
        <v>1.7967658215212617E-3</v>
      </c>
      <c r="BF34" s="20">
        <f t="shared" si="32"/>
        <v>4.318203627291047E-4</v>
      </c>
      <c r="BG34" s="20">
        <f t="shared" si="32"/>
        <v>5.544217288963989E-6</v>
      </c>
      <c r="BH34" s="16"/>
      <c r="BI34" s="16">
        <f t="shared" si="18"/>
        <v>21</v>
      </c>
      <c r="BJ34" s="16">
        <f t="shared" si="19"/>
        <v>177</v>
      </c>
      <c r="BK34" s="16">
        <f t="shared" si="20"/>
        <v>237</v>
      </c>
      <c r="BL34" s="16"/>
      <c r="BM34" s="16">
        <f t="shared" si="33"/>
        <v>435</v>
      </c>
      <c r="BN34" s="22">
        <f t="shared" si="39"/>
        <v>0.91578947368421049</v>
      </c>
      <c r="BO34" s="19">
        <f t="shared" si="40"/>
        <v>2.1773733369372618E-3</v>
      </c>
    </row>
    <row r="35" spans="1:67" s="9" customFormat="1" ht="13" customHeight="1" x14ac:dyDescent="0.15">
      <c r="B35" s="8"/>
      <c r="D35" s="38">
        <f t="shared" si="34"/>
        <v>30</v>
      </c>
      <c r="E35" s="41">
        <f t="shared" si="21"/>
        <v>43981</v>
      </c>
      <c r="F35" s="16"/>
      <c r="G35" s="17">
        <f t="shared" si="22"/>
        <v>0.60185185185185186</v>
      </c>
      <c r="H35" s="40">
        <f t="shared" si="0"/>
        <v>50854.102516927887</v>
      </c>
      <c r="I35" s="16">
        <f t="shared" si="23"/>
        <v>108</v>
      </c>
      <c r="J35" s="16">
        <f>SUM(I$5:I35)</f>
        <v>953738</v>
      </c>
      <c r="K35" s="16"/>
      <c r="L35" s="18">
        <f t="shared" ca="1" si="24"/>
        <v>0.91578947368421049</v>
      </c>
      <c r="M35" s="40">
        <f t="shared" ca="1" si="1"/>
        <v>1719.5342450836063</v>
      </c>
      <c r="N35" s="16">
        <f t="shared" ca="1" si="2"/>
        <v>475</v>
      </c>
      <c r="O35" s="16">
        <f ca="1">SUM(N$5:N35)</f>
        <v>215609</v>
      </c>
      <c r="P35" s="16"/>
      <c r="Q35" s="19">
        <f t="shared" ca="1" si="25"/>
        <v>0.22606732666623328</v>
      </c>
      <c r="R35" s="16"/>
      <c r="S35" s="16">
        <f t="shared" ca="1" si="3"/>
        <v>206626</v>
      </c>
      <c r="T35" s="19">
        <f t="shared" ca="1" si="26"/>
        <v>2.2988394490528782E-3</v>
      </c>
      <c r="U35" s="35"/>
      <c r="V35" s="30">
        <f t="shared" si="4"/>
        <v>0.7</v>
      </c>
      <c r="W35" s="16">
        <f t="shared" si="5"/>
        <v>9046262</v>
      </c>
      <c r="X35" s="16"/>
      <c r="Y35" s="16">
        <f t="shared" si="6"/>
        <v>11</v>
      </c>
      <c r="Z35" s="16">
        <f t="shared" si="7"/>
        <v>65</v>
      </c>
      <c r="AA35" s="16">
        <f t="shared" si="8"/>
        <v>32</v>
      </c>
      <c r="AB35" s="16"/>
      <c r="AC35" s="16">
        <f t="shared" si="9"/>
        <v>10011</v>
      </c>
      <c r="AD35" s="16">
        <f t="shared" si="10"/>
        <v>250062</v>
      </c>
      <c r="AE35" s="16">
        <f t="shared" si="11"/>
        <v>9739927</v>
      </c>
      <c r="AF35" s="16"/>
      <c r="AG35" s="16">
        <f>ROUND(AC35*Desire_severe*(1-SUM($BA$5:$BC34)/Population),0)</f>
        <v>5863</v>
      </c>
      <c r="AH35" s="16">
        <f>ROUND(AD35*Desire_mild*(1-SUM($BA$5:$BC34)/Population),0)</f>
        <v>73226</v>
      </c>
      <c r="AI35" s="16">
        <f>ROUND(AE35*Desire_asy*(1-SUM($BA$5:$BC34)/Population),0)</f>
        <v>114087</v>
      </c>
      <c r="AJ35" s="16"/>
      <c r="AK35" s="16">
        <f t="shared" si="35"/>
        <v>10000000</v>
      </c>
      <c r="AL35" s="16">
        <f t="shared" si="13"/>
        <v>7500000</v>
      </c>
      <c r="AM35" s="16">
        <f t="shared" si="27"/>
        <v>2500000</v>
      </c>
      <c r="AN35" s="16"/>
      <c r="AO35" s="16">
        <f t="shared" si="36"/>
        <v>5863</v>
      </c>
      <c r="AP35" s="16">
        <f t="shared" si="37"/>
        <v>73226</v>
      </c>
      <c r="AQ35" s="16">
        <f t="shared" si="28"/>
        <v>114087</v>
      </c>
      <c r="AR35" s="16"/>
      <c r="AS35" s="16">
        <f t="shared" si="38"/>
        <v>0</v>
      </c>
      <c r="AT35" s="16">
        <f t="shared" si="38"/>
        <v>0</v>
      </c>
      <c r="AU35" s="16">
        <f t="shared" si="38"/>
        <v>0</v>
      </c>
      <c r="AV35" s="16"/>
      <c r="AW35" s="16">
        <f t="shared" si="29"/>
        <v>0</v>
      </c>
      <c r="AX35" s="16">
        <f t="shared" si="15"/>
        <v>0</v>
      </c>
      <c r="AY35" s="16">
        <f t="shared" si="30"/>
        <v>0</v>
      </c>
      <c r="AZ35" s="16"/>
      <c r="BA35" s="16">
        <f t="shared" si="31"/>
        <v>5863</v>
      </c>
      <c r="BB35" s="16">
        <f t="shared" si="31"/>
        <v>73226</v>
      </c>
      <c r="BC35" s="16">
        <f t="shared" si="31"/>
        <v>114087</v>
      </c>
      <c r="BD35" s="16"/>
      <c r="BE35" s="20">
        <f t="shared" si="32"/>
        <v>1.0987913295375088E-3</v>
      </c>
      <c r="BF35" s="20">
        <f t="shared" si="32"/>
        <v>2.5993553598707518E-4</v>
      </c>
      <c r="BG35" s="20">
        <f t="shared" si="32"/>
        <v>3.2854455685345486E-6</v>
      </c>
      <c r="BH35" s="16"/>
      <c r="BI35" s="16">
        <f t="shared" si="18"/>
        <v>17</v>
      </c>
      <c r="BJ35" s="16">
        <f t="shared" si="19"/>
        <v>161</v>
      </c>
      <c r="BK35" s="16">
        <f t="shared" si="20"/>
        <v>228</v>
      </c>
      <c r="BL35" s="16"/>
      <c r="BM35" s="16">
        <f t="shared" si="33"/>
        <v>406</v>
      </c>
      <c r="BN35" s="22">
        <f t="shared" si="39"/>
        <v>0.93333333333333335</v>
      </c>
      <c r="BO35" s="19">
        <f t="shared" si="40"/>
        <v>2.1017103573942931E-3</v>
      </c>
    </row>
    <row r="36" spans="1:67" s="9" customFormat="1" ht="13" customHeight="1" x14ac:dyDescent="0.15">
      <c r="A36" s="15" t="s">
        <v>20</v>
      </c>
      <c r="B36" s="23">
        <v>0.75</v>
      </c>
      <c r="D36" s="38">
        <f t="shared" si="34"/>
        <v>31</v>
      </c>
      <c r="E36" s="41">
        <f t="shared" si="21"/>
        <v>43986</v>
      </c>
      <c r="F36" s="16"/>
      <c r="G36" s="17">
        <f t="shared" si="22"/>
        <v>0.6</v>
      </c>
      <c r="H36" s="40">
        <f t="shared" si="0"/>
        <v>84761.45853061114</v>
      </c>
      <c r="I36" s="16">
        <f t="shared" si="23"/>
        <v>65</v>
      </c>
      <c r="J36" s="16">
        <f>SUM(I$5:I36)</f>
        <v>953803</v>
      </c>
      <c r="K36" s="16"/>
      <c r="L36" s="18">
        <f t="shared" ca="1" si="24"/>
        <v>0.93333333333333335</v>
      </c>
      <c r="M36" s="40">
        <f t="shared" ca="1" si="1"/>
        <v>1845.9477133595665</v>
      </c>
      <c r="N36" s="16">
        <f t="shared" ca="1" si="2"/>
        <v>435</v>
      </c>
      <c r="O36" s="16">
        <f ca="1">SUM(N$5:N36)</f>
        <v>216044</v>
      </c>
      <c r="P36" s="16"/>
      <c r="Q36" s="19">
        <f t="shared" ca="1" si="25"/>
        <v>0.22650798959533572</v>
      </c>
      <c r="R36" s="16"/>
      <c r="S36" s="16">
        <f t="shared" ca="1" si="3"/>
        <v>199782</v>
      </c>
      <c r="T36" s="19">
        <f t="shared" ca="1" si="26"/>
        <v>2.1773733369372618E-3</v>
      </c>
      <c r="U36" s="35"/>
      <c r="V36" s="30">
        <f t="shared" si="4"/>
        <v>0.7</v>
      </c>
      <c r="W36" s="16">
        <f t="shared" si="5"/>
        <v>9046197</v>
      </c>
      <c r="X36" s="16"/>
      <c r="Y36" s="16">
        <f t="shared" si="6"/>
        <v>7</v>
      </c>
      <c r="Z36" s="16">
        <f t="shared" si="7"/>
        <v>39</v>
      </c>
      <c r="AA36" s="16">
        <f t="shared" si="8"/>
        <v>19</v>
      </c>
      <c r="AB36" s="16"/>
      <c r="AC36" s="16">
        <f t="shared" si="9"/>
        <v>10007</v>
      </c>
      <c r="AD36" s="16">
        <f t="shared" si="10"/>
        <v>250037</v>
      </c>
      <c r="AE36" s="16">
        <f t="shared" si="11"/>
        <v>9739956</v>
      </c>
      <c r="AF36" s="16"/>
      <c r="AG36" s="16">
        <f>ROUND(AC36*Desire_severe*(1-SUM($BA$5:$BC35)/Population),0)</f>
        <v>5667</v>
      </c>
      <c r="AH36" s="16">
        <f>ROUND(AD36*Desire_mild*(1-SUM($BA$5:$BC35)/Population),0)</f>
        <v>70804</v>
      </c>
      <c r="AI36" s="16">
        <f>ROUND(AE36*Desire_asy*(1-SUM($BA$5:$BC35)/Population),0)</f>
        <v>110324</v>
      </c>
      <c r="AJ36" s="16"/>
      <c r="AK36" s="16">
        <f t="shared" si="35"/>
        <v>10000000</v>
      </c>
      <c r="AL36" s="16">
        <f t="shared" ref="AL36:AL40" si="41">ROUND(AK36*Rationed_tests,0)</f>
        <v>7500000</v>
      </c>
      <c r="AM36" s="16">
        <f t="shared" si="27"/>
        <v>2500000</v>
      </c>
      <c r="AN36" s="16"/>
      <c r="AO36" s="16">
        <f t="shared" si="36"/>
        <v>5667</v>
      </c>
      <c r="AP36" s="16">
        <f t="shared" si="37"/>
        <v>70804</v>
      </c>
      <c r="AQ36" s="16">
        <f t="shared" si="28"/>
        <v>110324</v>
      </c>
      <c r="AR36" s="16"/>
      <c r="AS36" s="16">
        <f t="shared" ref="AS36:AU41" si="42">AG36-AO36</f>
        <v>0</v>
      </c>
      <c r="AT36" s="16">
        <f t="shared" si="42"/>
        <v>0</v>
      </c>
      <c r="AU36" s="16">
        <f t="shared" si="42"/>
        <v>0</v>
      </c>
      <c r="AV36" s="16"/>
      <c r="AW36" s="16">
        <f t="shared" si="29"/>
        <v>0</v>
      </c>
      <c r="AX36" s="16">
        <f t="shared" si="15"/>
        <v>0</v>
      </c>
      <c r="AY36" s="16">
        <f t="shared" si="30"/>
        <v>0</v>
      </c>
      <c r="AZ36" s="16"/>
      <c r="BA36" s="16">
        <f t="shared" ref="BA36:BC41" si="43">AW36+AO36</f>
        <v>5667</v>
      </c>
      <c r="BB36" s="16">
        <f t="shared" si="43"/>
        <v>70804</v>
      </c>
      <c r="BC36" s="16">
        <f t="shared" si="43"/>
        <v>110324</v>
      </c>
      <c r="BD36" s="16"/>
      <c r="BE36" s="20">
        <f t="shared" ref="BE36:BG41" si="44">Y36/AC36</f>
        <v>6.9951034276006792E-4</v>
      </c>
      <c r="BF36" s="20">
        <f t="shared" si="44"/>
        <v>1.5597691541651836E-4</v>
      </c>
      <c r="BG36" s="20">
        <f t="shared" si="44"/>
        <v>1.9507274981529689E-6</v>
      </c>
      <c r="BH36" s="16"/>
      <c r="BI36" s="16">
        <f t="shared" si="18"/>
        <v>14</v>
      </c>
      <c r="BJ36" s="16">
        <f t="shared" si="19"/>
        <v>151</v>
      </c>
      <c r="BK36" s="16">
        <f t="shared" si="20"/>
        <v>221</v>
      </c>
      <c r="BL36" s="16"/>
      <c r="BM36" s="16">
        <f t="shared" si="33"/>
        <v>386</v>
      </c>
      <c r="BN36" s="22">
        <f t="shared" si="39"/>
        <v>0.95073891625615758</v>
      </c>
      <c r="BO36" s="19">
        <f t="shared" ref="BO36:BO41" si="45">BM36/SUM(BA36:BC36)</f>
        <v>2.0664364677855404E-3</v>
      </c>
    </row>
    <row r="37" spans="1:67" s="9" customFormat="1" ht="13" customHeight="1" x14ac:dyDescent="0.15">
      <c r="B37" s="8"/>
      <c r="D37" s="38">
        <f t="shared" si="34"/>
        <v>32</v>
      </c>
      <c r="E37" s="41">
        <f t="shared" si="21"/>
        <v>43991</v>
      </c>
      <c r="F37" s="16"/>
      <c r="G37" s="17">
        <f t="shared" si="22"/>
        <v>0.58974358974358976</v>
      </c>
      <c r="H37" s="40">
        <f t="shared" si="0"/>
        <v>143730.62264316581</v>
      </c>
      <c r="I37" s="16">
        <f t="shared" si="23"/>
        <v>39</v>
      </c>
      <c r="J37" s="16">
        <f>SUM(I$5:I37)</f>
        <v>953842</v>
      </c>
      <c r="K37" s="16"/>
      <c r="L37" s="18">
        <f t="shared" ca="1" si="24"/>
        <v>0.95073891625615758</v>
      </c>
      <c r="M37" s="40">
        <f t="shared" ca="1" si="1"/>
        <v>1945.1482501566766</v>
      </c>
      <c r="N37" s="16">
        <f t="shared" ca="1" si="2"/>
        <v>406</v>
      </c>
      <c r="O37" s="16">
        <f ca="1">SUM(N$5:N37)</f>
        <v>216450</v>
      </c>
      <c r="P37" s="16"/>
      <c r="Q37" s="19">
        <f t="shared" ca="1" si="25"/>
        <v>0.22692437531582799</v>
      </c>
      <c r="R37" s="16"/>
      <c r="S37" s="16">
        <f t="shared" ca="1" si="3"/>
        <v>193176</v>
      </c>
      <c r="T37" s="19">
        <f t="shared" ca="1" si="26"/>
        <v>2.1017103573942931E-3</v>
      </c>
      <c r="U37" s="35"/>
      <c r="V37" s="30">
        <f t="shared" si="4"/>
        <v>0.7</v>
      </c>
      <c r="W37" s="16">
        <f t="shared" si="5"/>
        <v>9046158</v>
      </c>
      <c r="X37" s="16"/>
      <c r="Y37" s="16">
        <f t="shared" si="6"/>
        <v>4</v>
      </c>
      <c r="Z37" s="16">
        <f t="shared" si="7"/>
        <v>23</v>
      </c>
      <c r="AA37" s="16">
        <f t="shared" si="8"/>
        <v>12</v>
      </c>
      <c r="AB37" s="16"/>
      <c r="AC37" s="16">
        <f t="shared" si="9"/>
        <v>10004</v>
      </c>
      <c r="AD37" s="16">
        <f t="shared" si="10"/>
        <v>250022</v>
      </c>
      <c r="AE37" s="16">
        <f t="shared" si="11"/>
        <v>9739974</v>
      </c>
      <c r="AF37" s="16"/>
      <c r="AG37" s="16">
        <f>ROUND(AC37*Desire_severe*(1-SUM($BA$5:$BC36)/Population),0)</f>
        <v>5479</v>
      </c>
      <c r="AH37" s="16">
        <f>ROUND(AD37*Desire_mild*(1-SUM($BA$5:$BC36)/Population),0)</f>
        <v>68465</v>
      </c>
      <c r="AI37" s="16">
        <f>ROUND(AE37*Desire_asy*(1-SUM($BA$5:$BC36)/Population),0)</f>
        <v>106686</v>
      </c>
      <c r="AJ37" s="16"/>
      <c r="AK37" s="16">
        <f t="shared" si="35"/>
        <v>10000000</v>
      </c>
      <c r="AL37" s="16">
        <f t="shared" si="41"/>
        <v>7500000</v>
      </c>
      <c r="AM37" s="16">
        <f t="shared" si="27"/>
        <v>2500000</v>
      </c>
      <c r="AN37" s="16"/>
      <c r="AO37" s="16">
        <f t="shared" si="36"/>
        <v>5479</v>
      </c>
      <c r="AP37" s="16">
        <f t="shared" si="37"/>
        <v>68465</v>
      </c>
      <c r="AQ37" s="16">
        <f t="shared" si="28"/>
        <v>106686</v>
      </c>
      <c r="AR37" s="16"/>
      <c r="AS37" s="16">
        <f t="shared" si="42"/>
        <v>0</v>
      </c>
      <c r="AT37" s="16">
        <f t="shared" si="42"/>
        <v>0</v>
      </c>
      <c r="AU37" s="16">
        <f t="shared" si="42"/>
        <v>0</v>
      </c>
      <c r="AV37" s="16"/>
      <c r="AW37" s="16">
        <f t="shared" si="29"/>
        <v>0</v>
      </c>
      <c r="AX37" s="16">
        <f t="shared" si="15"/>
        <v>0</v>
      </c>
      <c r="AY37" s="16">
        <f t="shared" si="30"/>
        <v>0</v>
      </c>
      <c r="AZ37" s="16"/>
      <c r="BA37" s="16">
        <f t="shared" si="43"/>
        <v>5479</v>
      </c>
      <c r="BB37" s="16">
        <f t="shared" si="43"/>
        <v>68465</v>
      </c>
      <c r="BC37" s="16">
        <f t="shared" si="43"/>
        <v>106686</v>
      </c>
      <c r="BD37" s="16"/>
      <c r="BE37" s="20">
        <f t="shared" si="44"/>
        <v>3.9984006397441024E-4</v>
      </c>
      <c r="BF37" s="20">
        <f t="shared" si="44"/>
        <v>9.199190471238531E-5</v>
      </c>
      <c r="BG37" s="20">
        <f t="shared" si="44"/>
        <v>1.2320361430122915E-6</v>
      </c>
      <c r="BH37" s="16"/>
      <c r="BI37" s="16">
        <f t="shared" si="18"/>
        <v>13</v>
      </c>
      <c r="BJ37" s="16">
        <f t="shared" si="19"/>
        <v>142</v>
      </c>
      <c r="BK37" s="16">
        <f t="shared" si="20"/>
        <v>213</v>
      </c>
      <c r="BL37" s="16"/>
      <c r="BM37" s="16">
        <f t="shared" si="33"/>
        <v>368</v>
      </c>
      <c r="BN37" s="22">
        <f t="shared" si="39"/>
        <v>0.95336787564766834</v>
      </c>
      <c r="BO37" s="19">
        <f t="shared" si="45"/>
        <v>2.0373138459835022E-3</v>
      </c>
    </row>
    <row r="38" spans="1:67" s="9" customFormat="1" ht="13" customHeight="1" x14ac:dyDescent="0.15">
      <c r="A38" s="15" t="s">
        <v>4</v>
      </c>
      <c r="B38" s="26">
        <v>0.2</v>
      </c>
      <c r="D38" s="38">
        <f t="shared" si="34"/>
        <v>33</v>
      </c>
      <c r="E38" s="41">
        <f t="shared" si="21"/>
        <v>43996</v>
      </c>
      <c r="F38" s="16"/>
      <c r="G38" s="17">
        <f t="shared" si="22"/>
        <v>0.60869565217391308</v>
      </c>
      <c r="H38" s="40">
        <f t="shared" si="0"/>
        <v>236133.45978628905</v>
      </c>
      <c r="I38" s="16">
        <f t="shared" si="23"/>
        <v>23</v>
      </c>
      <c r="J38" s="16">
        <f>SUM(I$5:I38)</f>
        <v>953865</v>
      </c>
      <c r="K38" s="16"/>
      <c r="L38" s="18">
        <f t="shared" ca="1" si="24"/>
        <v>0.95336787564766834</v>
      </c>
      <c r="M38" s="40">
        <f t="shared" ca="1" si="1"/>
        <v>2043.841916854813</v>
      </c>
      <c r="N38" s="16">
        <f t="shared" ca="1" si="2"/>
        <v>386</v>
      </c>
      <c r="O38" s="16">
        <f ca="1">SUM(N$5:N38)</f>
        <v>216836</v>
      </c>
      <c r="P38" s="16"/>
      <c r="Q38" s="19">
        <f t="shared" ca="1" si="25"/>
        <v>0.22732357304230683</v>
      </c>
      <c r="R38" s="16"/>
      <c r="S38" s="16">
        <f t="shared" ca="1" si="3"/>
        <v>186795</v>
      </c>
      <c r="T38" s="19">
        <f t="shared" ca="1" si="26"/>
        <v>2.0664364677855404E-3</v>
      </c>
      <c r="U38" s="35"/>
      <c r="V38" s="30">
        <f t="shared" si="4"/>
        <v>0.7</v>
      </c>
      <c r="W38" s="16">
        <f t="shared" si="5"/>
        <v>9046135</v>
      </c>
      <c r="X38" s="16"/>
      <c r="Y38" s="16">
        <f t="shared" si="6"/>
        <v>2</v>
      </c>
      <c r="Z38" s="16">
        <f t="shared" si="7"/>
        <v>14</v>
      </c>
      <c r="AA38" s="16">
        <f t="shared" si="8"/>
        <v>7</v>
      </c>
      <c r="AB38" s="16"/>
      <c r="AC38" s="16">
        <f t="shared" si="9"/>
        <v>10002</v>
      </c>
      <c r="AD38" s="16">
        <f t="shared" si="10"/>
        <v>250013</v>
      </c>
      <c r="AE38" s="16">
        <f t="shared" si="11"/>
        <v>9739985</v>
      </c>
      <c r="AF38" s="16"/>
      <c r="AG38" s="16">
        <f>ROUND(AC38*Desire_severe*(1-SUM($BA$5:$BC37)/Population),0)</f>
        <v>5297</v>
      </c>
      <c r="AH38" s="16">
        <f>ROUND(AD38*Desire_mild*(1-SUM($BA$5:$BC37)/Population),0)</f>
        <v>66204</v>
      </c>
      <c r="AI38" s="16">
        <f>ROUND(AE38*Desire_asy*(1-SUM($BA$5:$BC37)/Population),0)</f>
        <v>103167</v>
      </c>
      <c r="AJ38" s="16"/>
      <c r="AK38" s="16">
        <f t="shared" si="35"/>
        <v>10000000</v>
      </c>
      <c r="AL38" s="16">
        <f t="shared" si="41"/>
        <v>7500000</v>
      </c>
      <c r="AM38" s="16">
        <f t="shared" si="27"/>
        <v>2500000</v>
      </c>
      <c r="AN38" s="16"/>
      <c r="AO38" s="16">
        <f t="shared" si="36"/>
        <v>5297</v>
      </c>
      <c r="AP38" s="16">
        <f t="shared" si="37"/>
        <v>66204</v>
      </c>
      <c r="AQ38" s="16">
        <f t="shared" si="28"/>
        <v>103167</v>
      </c>
      <c r="AR38" s="16"/>
      <c r="AS38" s="16">
        <f t="shared" si="42"/>
        <v>0</v>
      </c>
      <c r="AT38" s="16">
        <f t="shared" si="42"/>
        <v>0</v>
      </c>
      <c r="AU38" s="16">
        <f t="shared" si="42"/>
        <v>0</v>
      </c>
      <c r="AV38" s="16"/>
      <c r="AW38" s="16">
        <f t="shared" si="29"/>
        <v>0</v>
      </c>
      <c r="AX38" s="16">
        <f t="shared" si="15"/>
        <v>0</v>
      </c>
      <c r="AY38" s="16">
        <f t="shared" si="30"/>
        <v>0</v>
      </c>
      <c r="AZ38" s="16"/>
      <c r="BA38" s="16">
        <f t="shared" si="43"/>
        <v>5297</v>
      </c>
      <c r="BB38" s="16">
        <f t="shared" si="43"/>
        <v>66204</v>
      </c>
      <c r="BC38" s="16">
        <f t="shared" si="43"/>
        <v>103167</v>
      </c>
      <c r="BD38" s="16"/>
      <c r="BE38" s="20">
        <f t="shared" si="44"/>
        <v>1.9996000799840031E-4</v>
      </c>
      <c r="BF38" s="20">
        <f t="shared" si="44"/>
        <v>5.5997088151416125E-5</v>
      </c>
      <c r="BG38" s="20">
        <f t="shared" si="44"/>
        <v>7.1868693842957662E-7</v>
      </c>
      <c r="BH38" s="16"/>
      <c r="BI38" s="16">
        <f t="shared" si="18"/>
        <v>12</v>
      </c>
      <c r="BJ38" s="16">
        <f t="shared" si="19"/>
        <v>135</v>
      </c>
      <c r="BK38" s="16">
        <f t="shared" si="20"/>
        <v>206</v>
      </c>
      <c r="BL38" s="16"/>
      <c r="BM38" s="16">
        <f t="shared" si="33"/>
        <v>353</v>
      </c>
      <c r="BN38" s="22">
        <f t="shared" si="39"/>
        <v>0.95923913043478259</v>
      </c>
      <c r="BO38" s="19">
        <f t="shared" si="45"/>
        <v>2.0209769391073351E-3</v>
      </c>
    </row>
    <row r="39" spans="1:67" s="9" customFormat="1" ht="13" customHeight="1" x14ac:dyDescent="0.15">
      <c r="A39" s="15" t="s">
        <v>5</v>
      </c>
      <c r="B39" s="26">
        <v>2E-3</v>
      </c>
      <c r="D39" s="38">
        <f t="shared" si="34"/>
        <v>34</v>
      </c>
      <c r="E39" s="41">
        <f t="shared" si="21"/>
        <v>44001</v>
      </c>
      <c r="F39" s="16"/>
      <c r="G39" s="17">
        <f t="shared" si="22"/>
        <v>0.5714285714285714</v>
      </c>
      <c r="H39" s="40">
        <f t="shared" si="0"/>
        <v>413238.32002252806</v>
      </c>
      <c r="I39" s="16">
        <f t="shared" si="23"/>
        <v>14</v>
      </c>
      <c r="J39" s="16">
        <f>SUM(I$5:I39)</f>
        <v>953879</v>
      </c>
      <c r="K39" s="16"/>
      <c r="L39" s="18">
        <f t="shared" ca="1" si="24"/>
        <v>0.95923913043478259</v>
      </c>
      <c r="M39" s="40">
        <f t="shared" ca="1" si="1"/>
        <v>2134.2301355900322</v>
      </c>
      <c r="N39" s="16">
        <f t="shared" ca="1" si="2"/>
        <v>368</v>
      </c>
      <c r="O39" s="16">
        <f ca="1">SUM(N$5:N39)</f>
        <v>217204</v>
      </c>
      <c r="P39" s="16"/>
      <c r="Q39" s="19">
        <f t="shared" ca="1" si="25"/>
        <v>0.22770602980042542</v>
      </c>
      <c r="R39" s="16"/>
      <c r="S39" s="16">
        <f t="shared" ca="1" si="3"/>
        <v>180630</v>
      </c>
      <c r="T39" s="19">
        <f t="shared" ca="1" si="26"/>
        <v>2.0373138459835022E-3</v>
      </c>
      <c r="U39" s="35"/>
      <c r="V39" s="30">
        <f t="shared" si="4"/>
        <v>0.7</v>
      </c>
      <c r="W39" s="16">
        <f t="shared" si="5"/>
        <v>9046121</v>
      </c>
      <c r="X39" s="16"/>
      <c r="Y39" s="16">
        <f t="shared" si="6"/>
        <v>1</v>
      </c>
      <c r="Z39" s="16">
        <f t="shared" si="7"/>
        <v>8</v>
      </c>
      <c r="AA39" s="16">
        <f t="shared" si="8"/>
        <v>5</v>
      </c>
      <c r="AB39" s="16"/>
      <c r="AC39" s="16">
        <f t="shared" si="9"/>
        <v>10001</v>
      </c>
      <c r="AD39" s="16">
        <f t="shared" si="10"/>
        <v>250008</v>
      </c>
      <c r="AE39" s="16">
        <f t="shared" si="11"/>
        <v>9739991</v>
      </c>
      <c r="AF39" s="16"/>
      <c r="AG39" s="16">
        <f>ROUND(AC39*Desire_severe*(1-SUM($BA$5:$BC38)/Population),0)</f>
        <v>5122</v>
      </c>
      <c r="AH39" s="16">
        <f>ROUND(AD39*Desire_mild*(1-SUM($BA$5:$BC38)/Population),0)</f>
        <v>64019</v>
      </c>
      <c r="AI39" s="16">
        <f>ROUND(AE39*Desire_asy*(1-SUM($BA$5:$BC38)/Population),0)</f>
        <v>99765</v>
      </c>
      <c r="AJ39" s="16"/>
      <c r="AK39" s="16">
        <f t="shared" si="35"/>
        <v>10000000</v>
      </c>
      <c r="AL39" s="16">
        <f t="shared" si="41"/>
        <v>7500000</v>
      </c>
      <c r="AM39" s="16">
        <f t="shared" si="27"/>
        <v>2500000</v>
      </c>
      <c r="AN39" s="16"/>
      <c r="AO39" s="16">
        <f t="shared" si="36"/>
        <v>5122</v>
      </c>
      <c r="AP39" s="16">
        <f t="shared" si="37"/>
        <v>64019</v>
      </c>
      <c r="AQ39" s="16">
        <f t="shared" si="28"/>
        <v>99765</v>
      </c>
      <c r="AR39" s="16"/>
      <c r="AS39" s="16">
        <f t="shared" si="42"/>
        <v>0</v>
      </c>
      <c r="AT39" s="16">
        <f t="shared" si="42"/>
        <v>0</v>
      </c>
      <c r="AU39" s="16">
        <f t="shared" si="42"/>
        <v>0</v>
      </c>
      <c r="AV39" s="16"/>
      <c r="AW39" s="16">
        <f t="shared" si="29"/>
        <v>0</v>
      </c>
      <c r="AX39" s="16">
        <f t="shared" si="15"/>
        <v>0</v>
      </c>
      <c r="AY39" s="16">
        <f t="shared" si="30"/>
        <v>0</v>
      </c>
      <c r="AZ39" s="16"/>
      <c r="BA39" s="16">
        <f t="shared" si="43"/>
        <v>5122</v>
      </c>
      <c r="BB39" s="16">
        <f t="shared" si="43"/>
        <v>64019</v>
      </c>
      <c r="BC39" s="16">
        <f t="shared" si="43"/>
        <v>99765</v>
      </c>
      <c r="BD39" s="16"/>
      <c r="BE39" s="20">
        <f t="shared" si="44"/>
        <v>9.9990000999900015E-5</v>
      </c>
      <c r="BF39" s="20">
        <f t="shared" si="44"/>
        <v>3.1998976032766952E-5</v>
      </c>
      <c r="BG39" s="20">
        <f t="shared" si="44"/>
        <v>5.1334749693300536E-7</v>
      </c>
      <c r="BH39" s="16"/>
      <c r="BI39" s="16">
        <f t="shared" si="18"/>
        <v>10</v>
      </c>
      <c r="BJ39" s="16">
        <f t="shared" si="19"/>
        <v>130</v>
      </c>
      <c r="BK39" s="16">
        <f t="shared" si="20"/>
        <v>200</v>
      </c>
      <c r="BL39" s="16"/>
      <c r="BM39" s="16">
        <f t="shared" si="33"/>
        <v>340</v>
      </c>
      <c r="BN39" s="22">
        <f t="shared" si="39"/>
        <v>0.96317280453257792</v>
      </c>
      <c r="BO39" s="19">
        <f t="shared" si="45"/>
        <v>2.012953950718151E-3</v>
      </c>
    </row>
    <row r="40" spans="1:67" s="9" customFormat="1" ht="13" customHeight="1" x14ac:dyDescent="0.15">
      <c r="B40" s="8"/>
      <c r="D40" s="38">
        <f t="shared" si="34"/>
        <v>35</v>
      </c>
      <c r="E40" s="41">
        <f t="shared" si="21"/>
        <v>44006</v>
      </c>
      <c r="F40" s="16"/>
      <c r="G40" s="17" t="str">
        <f t="shared" si="22"/>
        <v/>
      </c>
      <c r="H40" s="40">
        <f t="shared" si="0"/>
        <v>661185.8174810491</v>
      </c>
      <c r="I40" s="16">
        <f t="shared" si="23"/>
        <v>8</v>
      </c>
      <c r="J40" s="16">
        <f>SUM(I$5:I40)</f>
        <v>953887</v>
      </c>
      <c r="K40" s="16"/>
      <c r="L40" s="18">
        <f t="shared" ca="1" si="24"/>
        <v>0.96317280453257792</v>
      </c>
      <c r="M40" s="40">
        <f t="shared" ca="1" si="1"/>
        <v>2219.3650810803256</v>
      </c>
      <c r="N40" s="16">
        <f t="shared" ca="1" si="2"/>
        <v>353</v>
      </c>
      <c r="O40" s="16">
        <f ca="1">SUM(N$5:N40)</f>
        <v>217557</v>
      </c>
      <c r="P40" s="16"/>
      <c r="Q40" s="19">
        <f t="shared" ca="1" si="25"/>
        <v>0.22807418488772779</v>
      </c>
      <c r="R40" s="16"/>
      <c r="S40" s="16">
        <f t="shared" ca="1" si="3"/>
        <v>174668</v>
      </c>
      <c r="T40" s="19">
        <f t="shared" ca="1" si="26"/>
        <v>2.0209769391073351E-3</v>
      </c>
      <c r="U40" s="35"/>
      <c r="V40" s="30">
        <f t="shared" si="4"/>
        <v>0.7</v>
      </c>
      <c r="W40" s="16">
        <f t="shared" si="5"/>
        <v>9046113</v>
      </c>
      <c r="X40" s="16"/>
      <c r="Y40" s="16">
        <f t="shared" si="6"/>
        <v>1</v>
      </c>
      <c r="Z40" s="16">
        <f t="shared" si="7"/>
        <v>5</v>
      </c>
      <c r="AA40" s="16">
        <f t="shared" si="8"/>
        <v>2</v>
      </c>
      <c r="AB40" s="16"/>
      <c r="AC40" s="16">
        <f t="shared" si="9"/>
        <v>10001</v>
      </c>
      <c r="AD40" s="16">
        <f t="shared" si="10"/>
        <v>250005</v>
      </c>
      <c r="AE40" s="16">
        <f t="shared" si="11"/>
        <v>9739994</v>
      </c>
      <c r="AF40" s="16"/>
      <c r="AG40" s="16">
        <f>ROUND(AC40*Desire_severe*(1-SUM($BA$5:$BC39)/Population),0)</f>
        <v>4953</v>
      </c>
      <c r="AH40" s="16">
        <f>ROUND(AD40*Desire_mild*(1-SUM($BA$5:$BC39)/Population),0)</f>
        <v>61907</v>
      </c>
      <c r="AI40" s="16">
        <f>ROUND(AE40*Desire_asy*(1-SUM($BA$5:$BC39)/Population),0)</f>
        <v>96474</v>
      </c>
      <c r="AJ40" s="16"/>
      <c r="AK40" s="16">
        <f t="shared" si="35"/>
        <v>10000000</v>
      </c>
      <c r="AL40" s="16">
        <f t="shared" si="41"/>
        <v>7500000</v>
      </c>
      <c r="AM40" s="16">
        <f t="shared" si="27"/>
        <v>2500000</v>
      </c>
      <c r="AN40" s="16"/>
      <c r="AO40" s="16">
        <f t="shared" si="36"/>
        <v>4953</v>
      </c>
      <c r="AP40" s="16">
        <f t="shared" si="37"/>
        <v>61907</v>
      </c>
      <c r="AQ40" s="16">
        <f t="shared" si="28"/>
        <v>96474</v>
      </c>
      <c r="AR40" s="16"/>
      <c r="AS40" s="16">
        <f t="shared" si="42"/>
        <v>0</v>
      </c>
      <c r="AT40" s="16">
        <f t="shared" si="42"/>
        <v>0</v>
      </c>
      <c r="AU40" s="16">
        <f t="shared" si="42"/>
        <v>0</v>
      </c>
      <c r="AV40" s="16"/>
      <c r="AW40" s="16">
        <f t="shared" si="29"/>
        <v>0</v>
      </c>
      <c r="AX40" s="16">
        <f t="shared" si="15"/>
        <v>0</v>
      </c>
      <c r="AY40" s="16">
        <f t="shared" si="30"/>
        <v>0</v>
      </c>
      <c r="AZ40" s="16"/>
      <c r="BA40" s="16">
        <f t="shared" si="43"/>
        <v>4953</v>
      </c>
      <c r="BB40" s="16">
        <f t="shared" si="43"/>
        <v>61907</v>
      </c>
      <c r="BC40" s="16">
        <f t="shared" si="43"/>
        <v>96474</v>
      </c>
      <c r="BD40" s="16"/>
      <c r="BE40" s="20">
        <f t="shared" si="44"/>
        <v>9.9990000999900015E-5</v>
      </c>
      <c r="BF40" s="20">
        <f t="shared" si="44"/>
        <v>1.9999600007999841E-5</v>
      </c>
      <c r="BG40" s="20">
        <f t="shared" si="44"/>
        <v>2.0533893552706502E-7</v>
      </c>
      <c r="BH40" s="16"/>
      <c r="BI40" s="16">
        <f t="shared" si="18"/>
        <v>10</v>
      </c>
      <c r="BJ40" s="16">
        <f t="shared" si="19"/>
        <v>125</v>
      </c>
      <c r="BK40" s="16">
        <f t="shared" si="20"/>
        <v>193</v>
      </c>
      <c r="BL40" s="16"/>
      <c r="BM40" s="16">
        <f t="shared" si="33"/>
        <v>328</v>
      </c>
      <c r="BN40" s="22">
        <f t="shared" si="39"/>
        <v>0.96470588235294119</v>
      </c>
      <c r="BO40" s="19">
        <f t="shared" si="45"/>
        <v>2.0081550687548215E-3</v>
      </c>
    </row>
    <row r="41" spans="1:67" s="9" customFormat="1" ht="13" customHeight="1" x14ac:dyDescent="0.15">
      <c r="A41" s="15" t="s">
        <v>54</v>
      </c>
      <c r="B41" s="8">
        <v>2</v>
      </c>
      <c r="D41" s="38">
        <f t="shared" si="34"/>
        <v>36</v>
      </c>
      <c r="E41" s="41">
        <f t="shared" si="21"/>
        <v>44011</v>
      </c>
      <c r="F41" s="16"/>
      <c r="G41" s="17" t="str">
        <f t="shared" si="22"/>
        <v/>
      </c>
      <c r="H41" s="40" t="str">
        <f t="shared" si="0"/>
        <v/>
      </c>
      <c r="I41" s="16">
        <f t="shared" si="23"/>
        <v>5</v>
      </c>
      <c r="J41" s="16">
        <f>SUM(I$5:I41)</f>
        <v>953892</v>
      </c>
      <c r="K41" s="16"/>
      <c r="L41" s="18" t="str">
        <f t="shared" ca="1" si="24"/>
        <v/>
      </c>
      <c r="M41" s="40"/>
      <c r="N41" s="16">
        <f t="shared" ref="N41" ca="1" si="46">IF(ISERROR(OFFSET(BM41,-Delay,0)*1),0,OFFSET(BM41,-Delay,0))</f>
        <v>340</v>
      </c>
      <c r="O41" s="16">
        <f ca="1">SUM(N$5:N41)</f>
        <v>217897</v>
      </c>
      <c r="P41" s="16"/>
      <c r="Q41" s="19">
        <f t="shared" ca="1" si="25"/>
        <v>0.2284294238760782</v>
      </c>
      <c r="R41" s="16"/>
      <c r="S41" s="16">
        <f t="shared" ca="1" si="3"/>
        <v>168906</v>
      </c>
      <c r="T41" s="19">
        <f t="shared" ca="1" si="26"/>
        <v>2.012953950718151E-3</v>
      </c>
      <c r="U41" s="35"/>
      <c r="V41" s="30">
        <f t="shared" si="4"/>
        <v>0.7</v>
      </c>
      <c r="W41" s="16">
        <f t="shared" si="5"/>
        <v>9046108</v>
      </c>
      <c r="X41" s="16"/>
      <c r="Y41" s="16">
        <f t="shared" si="6"/>
        <v>1</v>
      </c>
      <c r="Z41" s="16">
        <f t="shared" si="7"/>
        <v>3</v>
      </c>
      <c r="AA41" s="16">
        <f t="shared" si="8"/>
        <v>1</v>
      </c>
      <c r="AB41" s="16"/>
      <c r="AC41" s="16">
        <f t="shared" si="9"/>
        <v>10001</v>
      </c>
      <c r="AD41" s="16">
        <f t="shared" si="10"/>
        <v>250003</v>
      </c>
      <c r="AE41" s="16">
        <f t="shared" si="11"/>
        <v>9739996</v>
      </c>
      <c r="AF41" s="16"/>
      <c r="AG41" s="16">
        <f>ROUND(AC41*Desire_severe*(1-SUM($BA$5:$BC40)/Population),0)</f>
        <v>4790</v>
      </c>
      <c r="AH41" s="16">
        <f>ROUND(AD41*Desire_mild*(1-SUM($BA$5:$BC40)/Population),0)</f>
        <v>59865</v>
      </c>
      <c r="AI41" s="16">
        <f>ROUND(AE41*Desire_asy*(1-SUM($BA$5:$BC40)/Population),0)</f>
        <v>93293</v>
      </c>
      <c r="AJ41" s="16"/>
      <c r="AK41" s="16">
        <f t="shared" si="35"/>
        <v>10000000</v>
      </c>
      <c r="AL41" s="16">
        <f t="shared" ref="AL41" si="47">ROUND(AK41*Rationed_tests,0)</f>
        <v>7500000</v>
      </c>
      <c r="AM41" s="16">
        <f t="shared" si="27"/>
        <v>2500000</v>
      </c>
      <c r="AN41" s="16"/>
      <c r="AO41" s="16">
        <f t="shared" si="36"/>
        <v>4790</v>
      </c>
      <c r="AP41" s="16">
        <f t="shared" si="37"/>
        <v>59865</v>
      </c>
      <c r="AQ41" s="16">
        <f t="shared" si="28"/>
        <v>93293</v>
      </c>
      <c r="AR41" s="16"/>
      <c r="AS41" s="16">
        <f t="shared" si="42"/>
        <v>0</v>
      </c>
      <c r="AT41" s="16">
        <f t="shared" si="42"/>
        <v>0</v>
      </c>
      <c r="AU41" s="16">
        <f t="shared" si="42"/>
        <v>0</v>
      </c>
      <c r="AV41" s="16"/>
      <c r="AW41" s="16">
        <f t="shared" si="29"/>
        <v>0</v>
      </c>
      <c r="AX41" s="16">
        <f t="shared" si="15"/>
        <v>0</v>
      </c>
      <c r="AY41" s="16">
        <f t="shared" si="30"/>
        <v>0</v>
      </c>
      <c r="AZ41" s="16"/>
      <c r="BA41" s="16">
        <f t="shared" si="43"/>
        <v>4790</v>
      </c>
      <c r="BB41" s="16">
        <f t="shared" si="43"/>
        <v>59865</v>
      </c>
      <c r="BC41" s="16">
        <f t="shared" si="43"/>
        <v>93293</v>
      </c>
      <c r="BD41" s="16"/>
      <c r="BE41" s="20">
        <f t="shared" si="44"/>
        <v>9.9990000999900015E-5</v>
      </c>
      <c r="BF41" s="20">
        <f t="shared" si="44"/>
        <v>1.1999856001727979E-5</v>
      </c>
      <c r="BG41" s="20">
        <f t="shared" si="44"/>
        <v>1.0266944668149761E-7</v>
      </c>
      <c r="BH41" s="16"/>
      <c r="BI41" s="16">
        <f t="shared" ref="BI41" si="48">ROUND(BA41*BE41*(1-False_negative),0)+ROUND(BA41*(1-BE41)*(False_positive),0)</f>
        <v>10</v>
      </c>
      <c r="BJ41" s="16">
        <f t="shared" ref="BJ41" si="49">ROUND(BB41*BF41*(1-False_negative),0)+ROUND(BB41*(1-BF41)*(False_positive),0)</f>
        <v>121</v>
      </c>
      <c r="BK41" s="16">
        <f t="shared" ref="BK41" si="50">ROUND(BC41*BG41*(1-False_negative),0)+ROUND(BC41*(1-BG41)*(False_positive),0)</f>
        <v>187</v>
      </c>
      <c r="BL41" s="16"/>
      <c r="BM41" s="16">
        <f t="shared" si="33"/>
        <v>318</v>
      </c>
      <c r="BN41" s="22">
        <f t="shared" si="39"/>
        <v>0.96951219512195119</v>
      </c>
      <c r="BO41" s="19">
        <f t="shared" si="45"/>
        <v>2.0133208397700511E-3</v>
      </c>
    </row>
    <row r="42" spans="1:67" ht="14" customHeight="1" x14ac:dyDescent="0.15">
      <c r="F42" s="1"/>
      <c r="I42" s="1"/>
      <c r="J42" s="1"/>
      <c r="K42" s="1"/>
      <c r="N42" s="1"/>
      <c r="O42" s="1"/>
      <c r="P42" s="1"/>
      <c r="Q42" s="1"/>
      <c r="R42" s="1"/>
      <c r="S42" s="1"/>
      <c r="T42" s="1"/>
      <c r="U42" s="36"/>
      <c r="V42" s="31"/>
      <c r="W42" s="1"/>
      <c r="X42" s="1"/>
      <c r="AB42" s="1"/>
      <c r="AF42" s="1"/>
      <c r="AJ42" s="1"/>
      <c r="AN42" s="1"/>
      <c r="AR42" s="1"/>
      <c r="AV42" s="1"/>
      <c r="AZ42" s="1"/>
      <c r="BD42" s="1"/>
      <c r="BH42" s="1"/>
      <c r="BL42" s="1"/>
    </row>
    <row r="43" spans="1:67" ht="14" customHeight="1" x14ac:dyDescent="0.15">
      <c r="F43" s="1"/>
      <c r="I43" s="1"/>
      <c r="J43" s="1"/>
      <c r="K43" s="1"/>
      <c r="N43" s="1"/>
      <c r="O43" s="1"/>
      <c r="P43" s="1"/>
      <c r="Q43" s="1"/>
      <c r="R43" s="1"/>
      <c r="S43" s="1"/>
      <c r="T43" s="1"/>
      <c r="U43" s="36"/>
      <c r="V43" s="31"/>
      <c r="W43" s="1"/>
      <c r="X43" s="1"/>
      <c r="AB43" s="1"/>
      <c r="AF43" s="1"/>
      <c r="AJ43" s="1"/>
      <c r="AN43" s="1"/>
      <c r="AR43" s="1"/>
      <c r="AV43" s="1"/>
      <c r="AZ43" s="1"/>
      <c r="BD43" s="1"/>
      <c r="BH43" s="1"/>
      <c r="BL43" s="1"/>
    </row>
    <row r="44" spans="1:67" ht="14" customHeight="1" x14ac:dyDescent="0.15">
      <c r="F44" s="1"/>
      <c r="I44" s="1"/>
      <c r="J44" s="1"/>
      <c r="K44" s="1"/>
      <c r="N44" s="1"/>
      <c r="O44" s="1"/>
      <c r="P44" s="1"/>
      <c r="Q44" s="1"/>
      <c r="R44" s="1"/>
      <c r="S44" s="1"/>
      <c r="T44" s="1"/>
      <c r="U44" s="36"/>
      <c r="V44" s="31"/>
      <c r="W44" s="1"/>
      <c r="X44" s="1"/>
      <c r="AB44" s="1"/>
      <c r="AF44" s="1"/>
      <c r="AJ44" s="1"/>
      <c r="AN44" s="1"/>
      <c r="AR44" s="1"/>
      <c r="AV44" s="1"/>
      <c r="AZ44" s="1"/>
      <c r="BD44" s="1"/>
      <c r="BH44" s="1"/>
      <c r="BL44" s="1"/>
    </row>
    <row r="45" spans="1:67" ht="14" customHeight="1" x14ac:dyDescent="0.15">
      <c r="F45" s="1"/>
      <c r="I45" s="1"/>
      <c r="J45" s="1"/>
      <c r="K45" s="1"/>
      <c r="N45" s="1"/>
      <c r="O45" s="1"/>
      <c r="P45" s="1"/>
      <c r="Q45" s="1"/>
      <c r="R45" s="1"/>
      <c r="S45" s="1"/>
      <c r="T45" s="1"/>
      <c r="U45" s="36"/>
      <c r="V45" s="31"/>
      <c r="W45" s="1"/>
      <c r="X45" s="1"/>
      <c r="AB45" s="1"/>
      <c r="AF45" s="1"/>
      <c r="AJ45" s="1"/>
      <c r="AN45" s="1"/>
      <c r="AR45" s="1"/>
      <c r="AV45" s="1"/>
      <c r="AZ45" s="1"/>
      <c r="BD45" s="1"/>
      <c r="BH45" s="1"/>
      <c r="BL45" s="1"/>
    </row>
    <row r="46" spans="1:67" ht="14" customHeight="1" x14ac:dyDescent="0.15">
      <c r="F46" s="1"/>
      <c r="I46" s="1"/>
      <c r="J46" s="1"/>
      <c r="K46" s="1"/>
      <c r="N46" s="1"/>
      <c r="O46" s="1"/>
      <c r="P46" s="1"/>
      <c r="Q46" s="1"/>
      <c r="R46" s="1"/>
      <c r="S46" s="1"/>
      <c r="T46" s="1"/>
      <c r="U46" s="36"/>
      <c r="V46" s="31"/>
      <c r="W46" s="1"/>
      <c r="X46" s="1"/>
      <c r="AB46" s="1"/>
      <c r="AF46" s="1"/>
      <c r="AJ46" s="1"/>
      <c r="AN46" s="1"/>
      <c r="AR46" s="1"/>
      <c r="AV46" s="1"/>
      <c r="AZ46" s="1"/>
      <c r="BD46" s="1"/>
      <c r="BH46" s="1"/>
      <c r="BL46" s="1"/>
    </row>
    <row r="47" spans="1:67" ht="14" customHeight="1" x14ac:dyDescent="0.15">
      <c r="F47" s="1"/>
      <c r="I47" s="1"/>
      <c r="J47" s="1"/>
      <c r="K47" s="1"/>
      <c r="N47" s="1"/>
      <c r="O47" s="1"/>
      <c r="P47" s="1"/>
      <c r="Q47" s="1"/>
      <c r="R47" s="1"/>
      <c r="S47" s="1"/>
      <c r="T47" s="1"/>
      <c r="U47" s="36"/>
      <c r="V47" s="31"/>
      <c r="W47" s="1"/>
      <c r="X47" s="1"/>
      <c r="AB47" s="1"/>
      <c r="AF47" s="1"/>
      <c r="AJ47" s="1"/>
      <c r="AN47" s="1"/>
      <c r="AR47" s="1"/>
      <c r="AV47" s="1"/>
      <c r="AZ47" s="1"/>
      <c r="BD47" s="1"/>
      <c r="BH47" s="1"/>
      <c r="BL47" s="1"/>
    </row>
    <row r="48" spans="1:67" ht="14" customHeight="1" x14ac:dyDescent="0.15">
      <c r="F48" s="1"/>
      <c r="I48" s="1"/>
      <c r="J48" s="1"/>
      <c r="K48" s="1"/>
      <c r="N48" s="1"/>
      <c r="O48" s="1"/>
      <c r="P48" s="1"/>
      <c r="Q48" s="1"/>
      <c r="R48" s="1"/>
      <c r="S48" s="1"/>
      <c r="T48" s="1"/>
      <c r="U48" s="36"/>
      <c r="V48" s="31"/>
      <c r="W48" s="1"/>
      <c r="X48" s="1"/>
      <c r="AB48" s="1"/>
      <c r="AF48" s="1"/>
      <c r="AJ48" s="1"/>
      <c r="AN48" s="1"/>
      <c r="AR48" s="1"/>
      <c r="AV48" s="1"/>
      <c r="AZ48" s="1"/>
      <c r="BD48" s="1"/>
      <c r="BH48" s="1"/>
      <c r="BL48" s="1"/>
    </row>
    <row r="49" spans="6:64" ht="14" customHeight="1" x14ac:dyDescent="0.15">
      <c r="F49" s="1"/>
      <c r="I49" s="1"/>
      <c r="J49" s="1"/>
      <c r="K49" s="1"/>
      <c r="N49" s="1"/>
      <c r="O49" s="1"/>
      <c r="P49" s="1"/>
      <c r="Q49" s="1"/>
      <c r="R49" s="1"/>
      <c r="S49" s="1"/>
      <c r="T49" s="1"/>
      <c r="U49" s="36"/>
      <c r="V49" s="31"/>
      <c r="W49" s="1"/>
      <c r="X49" s="1"/>
      <c r="AB49" s="1"/>
      <c r="AF49" s="1"/>
      <c r="AJ49" s="1"/>
      <c r="AN49" s="1"/>
      <c r="AR49" s="1"/>
      <c r="AV49" s="1"/>
      <c r="AZ49" s="1"/>
      <c r="BD49" s="1"/>
      <c r="BH49" s="1"/>
      <c r="BL49" s="1"/>
    </row>
    <row r="50" spans="6:64" ht="14" customHeight="1" x14ac:dyDescent="0.15">
      <c r="F50" s="1"/>
      <c r="I50" s="1"/>
      <c r="J50" s="1"/>
      <c r="K50" s="1"/>
      <c r="N50" s="1"/>
      <c r="O50" s="1"/>
      <c r="P50" s="1"/>
      <c r="Q50" s="1"/>
      <c r="R50" s="1"/>
      <c r="S50" s="1"/>
      <c r="T50" s="1"/>
      <c r="U50" s="36"/>
      <c r="V50" s="31"/>
      <c r="W50" s="1"/>
      <c r="X50" s="1"/>
      <c r="AB50" s="1"/>
      <c r="AF50" s="1"/>
      <c r="AJ50" s="1"/>
      <c r="AN50" s="1"/>
      <c r="AR50" s="1"/>
      <c r="AV50" s="1"/>
      <c r="AZ50" s="1"/>
      <c r="BD50" s="1"/>
      <c r="BH50" s="1"/>
      <c r="BL50" s="1"/>
    </row>
    <row r="51" spans="6:64" ht="14" customHeight="1" x14ac:dyDescent="0.15">
      <c r="F51" s="1"/>
      <c r="I51" s="1"/>
      <c r="J51" s="1"/>
      <c r="K51" s="1"/>
      <c r="N51" s="1"/>
      <c r="O51" s="1"/>
      <c r="P51" s="1"/>
      <c r="Q51" s="1"/>
      <c r="R51" s="1"/>
      <c r="S51" s="1"/>
      <c r="T51" s="1"/>
      <c r="U51" s="36"/>
      <c r="V51" s="31"/>
      <c r="W51" s="1"/>
      <c r="X51" s="1"/>
      <c r="AB51" s="1"/>
      <c r="AF51" s="1"/>
      <c r="AJ51" s="1"/>
      <c r="AN51" s="1"/>
      <c r="AR51" s="1"/>
      <c r="AV51" s="1"/>
      <c r="AZ51" s="1"/>
      <c r="BD51" s="1"/>
      <c r="BH51" s="1"/>
      <c r="BL51" s="1"/>
    </row>
    <row r="52" spans="6:64" ht="14" customHeight="1" x14ac:dyDescent="0.15">
      <c r="F52" s="1"/>
      <c r="I52" s="1"/>
      <c r="J52" s="1"/>
      <c r="K52" s="1"/>
      <c r="N52" s="1"/>
      <c r="O52" s="1"/>
      <c r="P52" s="1"/>
      <c r="Q52" s="1"/>
      <c r="R52" s="1"/>
      <c r="S52" s="1"/>
      <c r="T52" s="1"/>
      <c r="U52" s="36"/>
      <c r="V52" s="31"/>
      <c r="W52" s="1"/>
      <c r="X52" s="1"/>
      <c r="AB52" s="1"/>
      <c r="AF52" s="1"/>
      <c r="AJ52" s="1"/>
      <c r="AN52" s="1"/>
      <c r="AR52" s="1"/>
      <c r="AV52" s="1"/>
      <c r="AZ52" s="1"/>
      <c r="BD52" s="1"/>
      <c r="BH52" s="1"/>
      <c r="BL52" s="1"/>
    </row>
    <row r="53" spans="6:64" ht="14" customHeight="1" x14ac:dyDescent="0.15">
      <c r="F53" s="1"/>
      <c r="I53" s="1"/>
      <c r="J53" s="1"/>
      <c r="K53" s="1"/>
      <c r="N53" s="1"/>
      <c r="O53" s="1"/>
      <c r="P53" s="1"/>
      <c r="Q53" s="1"/>
      <c r="R53" s="1"/>
      <c r="S53" s="1"/>
      <c r="T53" s="1"/>
      <c r="U53" s="36"/>
      <c r="V53" s="31"/>
      <c r="W53" s="1"/>
      <c r="X53" s="1"/>
      <c r="AB53" s="1"/>
      <c r="AF53" s="1"/>
      <c r="AJ53" s="1"/>
      <c r="AN53" s="1"/>
      <c r="AR53" s="1"/>
      <c r="AV53" s="1"/>
      <c r="AZ53" s="1"/>
      <c r="BD53" s="1"/>
      <c r="BH53" s="1"/>
      <c r="BL53" s="1"/>
    </row>
    <row r="54" spans="6:64" ht="14" customHeight="1" x14ac:dyDescent="0.15">
      <c r="F54" s="1"/>
      <c r="I54" s="1"/>
      <c r="J54" s="1"/>
      <c r="K54" s="1"/>
      <c r="N54" s="1"/>
      <c r="O54" s="1"/>
      <c r="P54" s="1"/>
      <c r="Q54" s="1"/>
      <c r="R54" s="1"/>
      <c r="S54" s="1"/>
      <c r="T54" s="1"/>
      <c r="U54" s="36"/>
      <c r="V54" s="31"/>
      <c r="W54" s="1"/>
      <c r="X54" s="1"/>
      <c r="AB54" s="1"/>
      <c r="AF54" s="1"/>
      <c r="AJ54" s="1"/>
      <c r="AN54" s="1"/>
      <c r="AR54" s="1"/>
      <c r="AV54" s="1"/>
      <c r="AZ54" s="1"/>
      <c r="BD54" s="1"/>
      <c r="BH54" s="1"/>
      <c r="BL54" s="1"/>
    </row>
    <row r="55" spans="6:64" ht="14" customHeight="1" x14ac:dyDescent="0.15">
      <c r="F55" s="1"/>
      <c r="I55" s="1"/>
      <c r="J55" s="1"/>
      <c r="K55" s="1"/>
      <c r="N55" s="1"/>
      <c r="O55" s="1"/>
      <c r="P55" s="1"/>
      <c r="Q55" s="1"/>
      <c r="R55" s="1"/>
      <c r="S55" s="1"/>
      <c r="T55" s="1"/>
      <c r="U55" s="36"/>
      <c r="V55" s="31"/>
      <c r="W55" s="1"/>
      <c r="X55" s="1"/>
      <c r="AB55" s="1"/>
      <c r="AF55" s="1"/>
      <c r="AJ55" s="1"/>
      <c r="AN55" s="1"/>
      <c r="AR55" s="1"/>
      <c r="AV55" s="1"/>
      <c r="AZ55" s="1"/>
      <c r="BD55" s="1"/>
      <c r="BH55" s="1"/>
      <c r="BL55" s="1"/>
    </row>
    <row r="56" spans="6:64" ht="14" customHeight="1" x14ac:dyDescent="0.15">
      <c r="F56" s="1"/>
      <c r="I56" s="1"/>
      <c r="J56" s="1"/>
      <c r="K56" s="1"/>
      <c r="N56" s="1"/>
      <c r="O56" s="1"/>
      <c r="P56" s="1"/>
      <c r="Q56" s="1"/>
      <c r="R56" s="1"/>
      <c r="S56" s="1"/>
      <c r="T56" s="1"/>
      <c r="U56" s="36"/>
      <c r="V56" s="31"/>
      <c r="W56" s="1"/>
      <c r="X56" s="1"/>
      <c r="AB56" s="1"/>
      <c r="AF56" s="1"/>
      <c r="AJ56" s="1"/>
      <c r="AN56" s="1"/>
      <c r="AR56" s="1"/>
      <c r="AV56" s="1"/>
      <c r="AZ56" s="1"/>
      <c r="BD56" s="1"/>
      <c r="BH56" s="1"/>
      <c r="BL56" s="1"/>
    </row>
    <row r="57" spans="6:64" ht="14" customHeight="1" x14ac:dyDescent="0.15">
      <c r="F57" s="1"/>
      <c r="I57" s="1"/>
      <c r="J57" s="1"/>
      <c r="K57" s="1"/>
      <c r="N57" s="1"/>
      <c r="O57" s="1"/>
      <c r="P57" s="1"/>
      <c r="Q57" s="1"/>
      <c r="R57" s="1"/>
      <c r="S57" s="1"/>
      <c r="T57" s="1"/>
      <c r="U57" s="36"/>
      <c r="V57" s="31"/>
      <c r="W57" s="1"/>
      <c r="X57" s="1"/>
      <c r="AB57" s="1"/>
      <c r="AF57" s="1"/>
      <c r="AJ57" s="1"/>
      <c r="AN57" s="1"/>
      <c r="AR57" s="1"/>
      <c r="AV57" s="1"/>
      <c r="AZ57" s="1"/>
      <c r="BD57" s="1"/>
      <c r="BH57" s="1"/>
      <c r="BL57" s="1"/>
    </row>
    <row r="58" spans="6:64" ht="14" customHeight="1" x14ac:dyDescent="0.15">
      <c r="F58" s="1"/>
      <c r="I58" s="1"/>
      <c r="J58" s="1"/>
      <c r="K58" s="1"/>
      <c r="N58" s="1"/>
      <c r="O58" s="1"/>
      <c r="P58" s="1"/>
      <c r="Q58" s="1"/>
      <c r="R58" s="1"/>
      <c r="S58" s="1"/>
      <c r="T58" s="1"/>
      <c r="U58" s="36"/>
      <c r="V58" s="31"/>
      <c r="W58" s="1"/>
      <c r="X58" s="1"/>
      <c r="AB58" s="1"/>
      <c r="AF58" s="1"/>
      <c r="AJ58" s="1"/>
      <c r="AN58" s="1"/>
      <c r="AR58" s="1"/>
      <c r="AV58" s="1"/>
      <c r="AZ58" s="1"/>
      <c r="BD58" s="1"/>
      <c r="BH58" s="1"/>
      <c r="BL58" s="1"/>
    </row>
    <row r="59" spans="6:64" ht="14" customHeight="1" x14ac:dyDescent="0.15">
      <c r="F59" s="1"/>
      <c r="I59" s="1"/>
      <c r="J59" s="1"/>
      <c r="K59" s="1"/>
      <c r="N59" s="1"/>
      <c r="O59" s="1"/>
      <c r="P59" s="1"/>
      <c r="Q59" s="1"/>
      <c r="R59" s="1"/>
      <c r="S59" s="1"/>
      <c r="T59" s="1"/>
      <c r="U59" s="36"/>
      <c r="V59" s="31"/>
      <c r="W59" s="1"/>
      <c r="X59" s="1"/>
      <c r="AB59" s="1"/>
      <c r="AF59" s="1"/>
      <c r="AJ59" s="1"/>
      <c r="AN59" s="1"/>
      <c r="AR59" s="1"/>
      <c r="AV59" s="1"/>
      <c r="AZ59" s="1"/>
      <c r="BD59" s="1"/>
      <c r="BH59" s="1"/>
      <c r="BL59" s="1"/>
    </row>
    <row r="60" spans="6:64" ht="14" customHeight="1" x14ac:dyDescent="0.15">
      <c r="F60" s="1"/>
      <c r="I60" s="1"/>
      <c r="J60" s="1"/>
      <c r="K60" s="1"/>
      <c r="N60" s="1"/>
      <c r="O60" s="1"/>
      <c r="P60" s="1"/>
      <c r="Q60" s="1"/>
      <c r="R60" s="1"/>
      <c r="S60" s="1"/>
      <c r="T60" s="1"/>
      <c r="U60" s="36"/>
      <c r="V60" s="31"/>
      <c r="W60" s="1"/>
      <c r="X60" s="1"/>
      <c r="AB60" s="1"/>
      <c r="AF60" s="1"/>
      <c r="AJ60" s="1"/>
      <c r="AN60" s="1"/>
      <c r="AR60" s="1"/>
      <c r="AV60" s="1"/>
      <c r="AZ60" s="1"/>
      <c r="BD60" s="1"/>
      <c r="BH60" s="1"/>
      <c r="BL60" s="1"/>
    </row>
    <row r="61" spans="6:64" ht="14" customHeight="1" x14ac:dyDescent="0.15">
      <c r="F61" s="1"/>
      <c r="I61" s="1"/>
      <c r="J61" s="1"/>
      <c r="K61" s="1"/>
      <c r="N61" s="1"/>
      <c r="O61" s="1"/>
      <c r="P61" s="1"/>
      <c r="Q61" s="1"/>
      <c r="R61" s="1"/>
      <c r="S61" s="1"/>
      <c r="T61" s="1"/>
      <c r="U61" s="36"/>
      <c r="V61" s="31"/>
      <c r="W61" s="1"/>
      <c r="X61" s="1"/>
      <c r="AB61" s="1"/>
      <c r="AF61" s="1"/>
      <c r="AJ61" s="1"/>
      <c r="AN61" s="1"/>
      <c r="AR61" s="1"/>
      <c r="AV61" s="1"/>
      <c r="AZ61" s="1"/>
      <c r="BD61" s="1"/>
      <c r="BH61" s="1"/>
      <c r="BL61" s="1"/>
    </row>
    <row r="62" spans="6:64" ht="14" customHeight="1" x14ac:dyDescent="0.15">
      <c r="F62" s="1"/>
      <c r="I62" s="1"/>
      <c r="J62" s="1"/>
      <c r="K62" s="1"/>
      <c r="N62" s="1"/>
      <c r="O62" s="1"/>
      <c r="P62" s="1"/>
      <c r="Q62" s="1"/>
      <c r="R62" s="1"/>
      <c r="S62" s="1"/>
      <c r="T62" s="1"/>
      <c r="U62" s="36"/>
      <c r="V62" s="31"/>
      <c r="W62" s="1"/>
      <c r="X62" s="1"/>
      <c r="AB62" s="1"/>
      <c r="AF62" s="1"/>
      <c r="AJ62" s="1"/>
      <c r="AN62" s="1"/>
      <c r="AR62" s="1"/>
      <c r="AV62" s="1"/>
      <c r="AZ62" s="1"/>
      <c r="BD62" s="1"/>
      <c r="BH62" s="1"/>
      <c r="BL62" s="1"/>
    </row>
    <row r="63" spans="6:64" ht="14" customHeight="1" x14ac:dyDescent="0.15">
      <c r="F63" s="1"/>
      <c r="I63" s="1"/>
      <c r="J63" s="1"/>
      <c r="K63" s="1"/>
      <c r="N63" s="1"/>
      <c r="O63" s="1"/>
      <c r="P63" s="1"/>
      <c r="Q63" s="1"/>
      <c r="R63" s="1"/>
      <c r="S63" s="1"/>
      <c r="T63" s="1"/>
      <c r="U63" s="36"/>
      <c r="V63" s="31"/>
      <c r="W63" s="1"/>
      <c r="X63" s="1"/>
      <c r="AB63" s="1"/>
      <c r="AF63" s="1"/>
      <c r="AJ63" s="1"/>
      <c r="AN63" s="1"/>
      <c r="AR63" s="1"/>
      <c r="AV63" s="1"/>
      <c r="AZ63" s="1"/>
      <c r="BD63" s="1"/>
      <c r="BH63" s="1"/>
      <c r="BL63" s="1"/>
    </row>
    <row r="64" spans="6:64" ht="14" customHeight="1" x14ac:dyDescent="0.15">
      <c r="F64" s="1"/>
      <c r="I64" s="1"/>
      <c r="J64" s="1"/>
      <c r="K64" s="1"/>
      <c r="N64" s="1"/>
      <c r="O64" s="1"/>
      <c r="P64" s="1"/>
      <c r="Q64" s="1"/>
      <c r="R64" s="1"/>
      <c r="S64" s="1"/>
      <c r="T64" s="1"/>
      <c r="U64" s="36"/>
      <c r="V64" s="31"/>
      <c r="W64" s="1"/>
      <c r="X64" s="1"/>
      <c r="AB64" s="1"/>
      <c r="AF64" s="1"/>
      <c r="AJ64" s="1"/>
      <c r="AN64" s="1"/>
      <c r="AR64" s="1"/>
      <c r="AV64" s="1"/>
      <c r="AZ64" s="1"/>
      <c r="BD64" s="1"/>
      <c r="BH64" s="1"/>
      <c r="BL64" s="1"/>
    </row>
    <row r="65" spans="6:64" ht="14" customHeight="1" x14ac:dyDescent="0.15">
      <c r="F65" s="1"/>
      <c r="I65" s="1"/>
      <c r="J65" s="1"/>
      <c r="K65" s="1"/>
      <c r="N65" s="1"/>
      <c r="O65" s="1"/>
      <c r="P65" s="1"/>
      <c r="Q65" s="1"/>
      <c r="R65" s="1"/>
      <c r="S65" s="1"/>
      <c r="T65" s="1"/>
      <c r="U65" s="36"/>
      <c r="V65" s="31"/>
      <c r="W65" s="1"/>
      <c r="X65" s="1"/>
      <c r="AB65" s="1"/>
      <c r="AF65" s="1"/>
      <c r="AJ65" s="1"/>
      <c r="AN65" s="1"/>
      <c r="AR65" s="1"/>
      <c r="AV65" s="1"/>
      <c r="AZ65" s="1"/>
      <c r="BD65" s="1"/>
      <c r="BH65" s="1"/>
      <c r="BL65" s="1"/>
    </row>
    <row r="66" spans="6:64" ht="14" customHeight="1" x14ac:dyDescent="0.15">
      <c r="F66" s="1"/>
      <c r="I66" s="1"/>
      <c r="J66" s="1"/>
      <c r="K66" s="1"/>
      <c r="N66" s="1"/>
      <c r="O66" s="1"/>
      <c r="P66" s="1"/>
      <c r="Q66" s="1"/>
      <c r="R66" s="1"/>
      <c r="S66" s="1"/>
      <c r="T66" s="1"/>
      <c r="U66" s="36"/>
      <c r="V66" s="31"/>
      <c r="W66" s="1"/>
      <c r="X66" s="1"/>
      <c r="AB66" s="1"/>
      <c r="AF66" s="1"/>
      <c r="AJ66" s="1"/>
      <c r="AN66" s="1"/>
      <c r="AR66" s="1"/>
      <c r="AV66" s="1"/>
      <c r="AZ66" s="1"/>
      <c r="BD66" s="1"/>
      <c r="BH66" s="1"/>
      <c r="BL66" s="1"/>
    </row>
    <row r="67" spans="6:64" ht="14" customHeight="1" x14ac:dyDescent="0.15">
      <c r="F67" s="1"/>
      <c r="I67" s="1"/>
      <c r="J67" s="1"/>
      <c r="K67" s="1"/>
      <c r="N67" s="1"/>
      <c r="O67" s="1"/>
      <c r="P67" s="1"/>
      <c r="Q67" s="1"/>
      <c r="R67" s="1"/>
      <c r="S67" s="1"/>
      <c r="T67" s="1"/>
      <c r="U67" s="36"/>
      <c r="V67" s="31"/>
      <c r="W67" s="1"/>
      <c r="X67" s="1"/>
      <c r="AB67" s="1"/>
      <c r="AF67" s="1"/>
      <c r="AJ67" s="1"/>
      <c r="AN67" s="1"/>
      <c r="AR67" s="1"/>
      <c r="AV67" s="1"/>
      <c r="AZ67" s="1"/>
      <c r="BD67" s="1"/>
      <c r="BH67" s="1"/>
      <c r="BL67" s="1"/>
    </row>
    <row r="68" spans="6:64" ht="14" customHeight="1" x14ac:dyDescent="0.15">
      <c r="F68" s="1"/>
      <c r="I68" s="1"/>
      <c r="J68" s="1"/>
      <c r="K68" s="1"/>
      <c r="N68" s="1"/>
      <c r="O68" s="1"/>
      <c r="P68" s="1"/>
      <c r="Q68" s="1"/>
      <c r="R68" s="1"/>
      <c r="S68" s="1"/>
      <c r="T68" s="1"/>
      <c r="U68" s="36"/>
      <c r="V68" s="31"/>
      <c r="W68" s="1"/>
      <c r="X68" s="1"/>
      <c r="AB68" s="1"/>
      <c r="AF68" s="1"/>
      <c r="AJ68" s="1"/>
      <c r="AN68" s="1"/>
      <c r="AR68" s="1"/>
      <c r="AV68" s="1"/>
      <c r="AZ68" s="1"/>
      <c r="BD68" s="1"/>
      <c r="BH68" s="1"/>
      <c r="BL68" s="1"/>
    </row>
    <row r="69" spans="6:64" ht="14" customHeight="1" x14ac:dyDescent="0.15">
      <c r="F69" s="1"/>
      <c r="I69" s="1"/>
      <c r="J69" s="1"/>
      <c r="K69" s="1"/>
      <c r="N69" s="1"/>
      <c r="O69" s="1"/>
      <c r="P69" s="1"/>
      <c r="Q69" s="1"/>
      <c r="R69" s="1"/>
      <c r="S69" s="1"/>
      <c r="T69" s="1"/>
      <c r="U69" s="36"/>
      <c r="V69" s="31"/>
      <c r="W69" s="1"/>
      <c r="X69" s="1"/>
      <c r="AB69" s="1"/>
      <c r="AF69" s="1"/>
      <c r="AJ69" s="1"/>
      <c r="AN69" s="1"/>
      <c r="AR69" s="1"/>
      <c r="AV69" s="1"/>
      <c r="AZ69" s="1"/>
      <c r="BD69" s="1"/>
      <c r="BH69" s="1"/>
      <c r="BL69" s="1"/>
    </row>
    <row r="70" spans="6:64" ht="14" customHeight="1" x14ac:dyDescent="0.15">
      <c r="F70" s="1"/>
      <c r="I70" s="1"/>
      <c r="J70" s="1"/>
      <c r="K70" s="1"/>
      <c r="N70" s="1"/>
      <c r="O70" s="1"/>
      <c r="P70" s="1"/>
      <c r="Q70" s="1"/>
      <c r="R70" s="1"/>
      <c r="S70" s="1"/>
      <c r="T70" s="1"/>
      <c r="U70" s="36"/>
      <c r="V70" s="31"/>
      <c r="W70" s="1"/>
      <c r="X70" s="1"/>
      <c r="AB70" s="1"/>
      <c r="AF70" s="1"/>
      <c r="AJ70" s="1"/>
      <c r="AN70" s="1"/>
      <c r="AR70" s="1"/>
      <c r="AV70" s="1"/>
      <c r="AZ70" s="1"/>
      <c r="BD70" s="1"/>
      <c r="BH70" s="1"/>
      <c r="BL70" s="1"/>
    </row>
    <row r="71" spans="6:64" ht="14" customHeight="1" x14ac:dyDescent="0.15">
      <c r="F71" s="1"/>
      <c r="I71" s="1"/>
      <c r="J71" s="1"/>
      <c r="K71" s="1"/>
      <c r="N71" s="1"/>
      <c r="O71" s="1"/>
      <c r="P71" s="1"/>
      <c r="Q71" s="1"/>
      <c r="R71" s="1"/>
      <c r="S71" s="1"/>
      <c r="T71" s="1"/>
      <c r="U71" s="36"/>
      <c r="V71" s="31"/>
      <c r="W71" s="1"/>
      <c r="X71" s="1"/>
      <c r="AB71" s="1"/>
      <c r="AF71" s="1"/>
      <c r="AJ71" s="1"/>
      <c r="AN71" s="1"/>
      <c r="AR71" s="1"/>
      <c r="AV71" s="1"/>
      <c r="AZ71" s="1"/>
      <c r="BD71" s="1"/>
      <c r="BH71" s="1"/>
      <c r="BL71" s="1"/>
    </row>
    <row r="72" spans="6:64" ht="14" customHeight="1" x14ac:dyDescent="0.15">
      <c r="F72" s="1"/>
      <c r="I72" s="1"/>
      <c r="J72" s="1"/>
      <c r="K72" s="1"/>
      <c r="N72" s="1"/>
      <c r="O72" s="1"/>
      <c r="P72" s="1"/>
      <c r="Q72" s="1"/>
      <c r="R72" s="1"/>
      <c r="S72" s="1"/>
      <c r="T72" s="1"/>
      <c r="U72" s="36"/>
      <c r="V72" s="31"/>
      <c r="W72" s="1"/>
      <c r="X72" s="1"/>
      <c r="AB72" s="1"/>
      <c r="AF72" s="1"/>
      <c r="AJ72" s="1"/>
      <c r="AN72" s="1"/>
      <c r="AR72" s="1"/>
      <c r="AV72" s="1"/>
      <c r="AZ72" s="1"/>
      <c r="BD72" s="1"/>
      <c r="BH72" s="1"/>
      <c r="BL72" s="1"/>
    </row>
    <row r="73" spans="6:64" ht="14" customHeight="1" x14ac:dyDescent="0.15">
      <c r="F73" s="1"/>
      <c r="I73" s="1"/>
      <c r="J73" s="1"/>
      <c r="K73" s="1"/>
      <c r="N73" s="1"/>
      <c r="O73" s="1"/>
      <c r="P73" s="1"/>
      <c r="Q73" s="1"/>
      <c r="R73" s="1"/>
      <c r="S73" s="1"/>
      <c r="T73" s="1"/>
      <c r="U73" s="36"/>
      <c r="V73" s="31"/>
      <c r="W73" s="1"/>
      <c r="X73" s="1"/>
      <c r="AB73" s="1"/>
      <c r="AF73" s="1"/>
      <c r="AJ73" s="1"/>
      <c r="AN73" s="1"/>
      <c r="AR73" s="1"/>
      <c r="AV73" s="1"/>
      <c r="AZ73" s="1"/>
      <c r="BD73" s="1"/>
      <c r="BH73" s="1"/>
      <c r="BL73" s="1"/>
    </row>
    <row r="74" spans="6:64" ht="14" customHeight="1" x14ac:dyDescent="0.15">
      <c r="F74" s="1"/>
      <c r="I74" s="1"/>
      <c r="J74" s="1"/>
      <c r="K74" s="1"/>
      <c r="N74" s="1"/>
      <c r="O74" s="1"/>
      <c r="P74" s="1"/>
      <c r="Q74" s="1"/>
      <c r="R74" s="1"/>
      <c r="S74" s="1"/>
      <c r="T74" s="1"/>
      <c r="U74" s="36"/>
      <c r="V74" s="31"/>
      <c r="W74" s="1"/>
      <c r="X74" s="1"/>
      <c r="AB74" s="1"/>
      <c r="AF74" s="1"/>
      <c r="AJ74" s="1"/>
      <c r="AN74" s="1"/>
      <c r="AR74" s="1"/>
      <c r="AV74" s="1"/>
      <c r="AZ74" s="1"/>
      <c r="BD74" s="1"/>
      <c r="BH74" s="1"/>
      <c r="BL74" s="1"/>
    </row>
    <row r="75" spans="6:64" ht="14" customHeight="1" x14ac:dyDescent="0.15">
      <c r="F75" s="1"/>
      <c r="I75" s="1"/>
      <c r="J75" s="1"/>
      <c r="K75" s="1"/>
      <c r="N75" s="1"/>
      <c r="O75" s="1"/>
      <c r="P75" s="1"/>
      <c r="Q75" s="1"/>
      <c r="R75" s="1"/>
      <c r="S75" s="1"/>
      <c r="T75" s="1"/>
      <c r="U75" s="36"/>
      <c r="V75" s="31"/>
      <c r="W75" s="1"/>
      <c r="X75" s="1"/>
      <c r="AB75" s="1"/>
      <c r="AF75" s="1"/>
      <c r="AJ75" s="1"/>
      <c r="AN75" s="1"/>
      <c r="AR75" s="1"/>
      <c r="AV75" s="1"/>
      <c r="AZ75" s="1"/>
      <c r="BD75" s="1"/>
      <c r="BH75" s="1"/>
      <c r="BL75" s="1"/>
    </row>
    <row r="76" spans="6:64" ht="14" customHeight="1" x14ac:dyDescent="0.15">
      <c r="F76" s="1"/>
      <c r="I76" s="1"/>
      <c r="J76" s="1"/>
      <c r="K76" s="1"/>
      <c r="N76" s="1"/>
      <c r="O76" s="1"/>
      <c r="P76" s="1"/>
      <c r="Q76" s="1"/>
      <c r="R76" s="1"/>
      <c r="S76" s="1"/>
      <c r="T76" s="1"/>
      <c r="U76" s="36"/>
      <c r="V76" s="31"/>
      <c r="W76" s="1"/>
      <c r="X76" s="1"/>
      <c r="AB76" s="1"/>
      <c r="AF76" s="1"/>
      <c r="AJ76" s="1"/>
      <c r="AN76" s="1"/>
      <c r="AR76" s="1"/>
      <c r="AV76" s="1"/>
      <c r="AZ76" s="1"/>
      <c r="BD76" s="1"/>
      <c r="BH76" s="1"/>
      <c r="BL76" s="1"/>
    </row>
    <row r="77" spans="6:64" ht="14" customHeight="1" x14ac:dyDescent="0.15">
      <c r="F77" s="1"/>
      <c r="I77" s="1"/>
      <c r="J77" s="1"/>
      <c r="K77" s="1"/>
      <c r="N77" s="1"/>
      <c r="O77" s="1"/>
      <c r="P77" s="1"/>
      <c r="Q77" s="1"/>
      <c r="R77" s="1"/>
      <c r="S77" s="1"/>
      <c r="T77" s="1"/>
      <c r="U77" s="36"/>
      <c r="V77" s="31"/>
      <c r="W77" s="1"/>
      <c r="X77" s="1"/>
      <c r="AB77" s="1"/>
      <c r="AF77" s="1"/>
      <c r="AJ77" s="1"/>
      <c r="AN77" s="1"/>
      <c r="AR77" s="1"/>
      <c r="AV77" s="1"/>
      <c r="AZ77" s="1"/>
      <c r="BD77" s="1"/>
      <c r="BH77" s="1"/>
      <c r="BL77" s="1"/>
    </row>
    <row r="78" spans="6:64" ht="14" customHeight="1" x14ac:dyDescent="0.15">
      <c r="F78" s="1"/>
      <c r="I78" s="1"/>
      <c r="J78" s="1"/>
      <c r="K78" s="1"/>
      <c r="N78" s="1"/>
      <c r="O78" s="1"/>
      <c r="P78" s="1"/>
      <c r="Q78" s="1"/>
      <c r="R78" s="1"/>
      <c r="S78" s="1"/>
      <c r="T78" s="1"/>
      <c r="U78" s="36"/>
      <c r="V78" s="31"/>
      <c r="W78" s="1"/>
      <c r="X78" s="1"/>
      <c r="AB78" s="1"/>
      <c r="AF78" s="1"/>
      <c r="AJ78" s="1"/>
      <c r="AN78" s="1"/>
      <c r="AR78" s="1"/>
      <c r="AV78" s="1"/>
      <c r="AZ78" s="1"/>
      <c r="BD78" s="1"/>
      <c r="BH78" s="1"/>
      <c r="BL78" s="1"/>
    </row>
  </sheetData>
  <mergeCells count="12">
    <mergeCell ref="BI3:BK3"/>
    <mergeCell ref="G3:J3"/>
    <mergeCell ref="L3:O3"/>
    <mergeCell ref="S3:T3"/>
    <mergeCell ref="Y3:AA3"/>
    <mergeCell ref="AC3:AE3"/>
    <mergeCell ref="AG3:AI3"/>
    <mergeCell ref="AO3:AQ3"/>
    <mergeCell ref="AS3:AU3"/>
    <mergeCell ref="AW3:AY3"/>
    <mergeCell ref="BA3:BC3"/>
    <mergeCell ref="BE3:B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D62DF0F-7B79-374F-9732-5C864E07E17B}">
          <x14:formula1>
            <xm:f>'do not delete'!$B$2:$B$5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E2B04-7690-994F-B2D3-4354B0A4A652}">
  <dimension ref="A1:BO78"/>
  <sheetViews>
    <sheetView zoomScale="99" workbookViewId="0">
      <pane xSplit="3" ySplit="4" topLeftCell="BE5" activePane="bottomRight" state="frozen"/>
      <selection activeCell="A3" sqref="A3"/>
      <selection pane="topRight" activeCell="A3" sqref="A3"/>
      <selection pane="bottomLeft" activeCell="A3" sqref="A3"/>
      <selection pane="bottomRight" activeCell="BN4" sqref="BN4"/>
    </sheetView>
  </sheetViews>
  <sheetFormatPr baseColWidth="10" defaultColWidth="17.83203125" defaultRowHeight="14" customHeight="1" x14ac:dyDescent="0.15"/>
  <cols>
    <col min="1" max="1" width="49.33203125" style="1" customWidth="1"/>
    <col min="2" max="2" width="16.5" style="3" bestFit="1" customWidth="1"/>
    <col min="3" max="3" width="2.6640625" style="1" customWidth="1"/>
    <col min="4" max="4" width="11.33203125" style="36" customWidth="1"/>
    <col min="5" max="5" width="10.1640625" style="1" customWidth="1"/>
    <col min="6" max="6" width="5.1640625" style="4" customWidth="1"/>
    <col min="7" max="7" width="9.1640625" style="1" customWidth="1"/>
    <col min="8" max="8" width="10.6640625" style="31" customWidth="1"/>
    <col min="9" max="9" width="10.5" style="4" customWidth="1"/>
    <col min="10" max="10" width="11.5" style="4" customWidth="1"/>
    <col min="11" max="11" width="5.1640625" style="4" customWidth="1"/>
    <col min="12" max="12" width="9.1640625" style="1" customWidth="1"/>
    <col min="13" max="13" width="9.1640625" style="31" customWidth="1"/>
    <col min="14" max="15" width="11.83203125" style="4" customWidth="1"/>
    <col min="16" max="16" width="5.1640625" style="4" customWidth="1"/>
    <col min="17" max="17" width="14.1640625" style="4" customWidth="1"/>
    <col min="18" max="18" width="5.1640625" style="4" customWidth="1"/>
    <col min="19" max="19" width="11.1640625" style="4" customWidth="1"/>
    <col min="20" max="20" width="12.1640625" style="4" customWidth="1"/>
    <col min="21" max="21" width="5.1640625" style="32" customWidth="1"/>
    <col min="22" max="22" width="8.33203125" style="27" customWidth="1"/>
    <col min="23" max="23" width="14.1640625" style="2" customWidth="1"/>
    <col min="24" max="24" width="5.1640625" style="4" customWidth="1"/>
    <col min="25" max="27" width="14.33203125" style="4" customWidth="1"/>
    <col min="28" max="28" width="5.1640625" style="4" customWidth="1"/>
    <col min="29" max="31" width="17.83203125" style="4" customWidth="1"/>
    <col min="32" max="32" width="5.1640625" style="4" customWidth="1"/>
    <col min="33" max="35" width="17.83203125" style="1" customWidth="1"/>
    <col min="36" max="36" width="5.1640625" style="4" customWidth="1"/>
    <col min="37" max="39" width="17.83203125" style="1" customWidth="1"/>
    <col min="40" max="40" width="5.1640625" style="4" customWidth="1"/>
    <col min="41" max="43" width="17.83203125" style="1" customWidth="1"/>
    <col min="44" max="44" width="5.1640625" style="4" customWidth="1"/>
    <col min="45" max="47" width="17.83203125" style="1" customWidth="1"/>
    <col min="48" max="48" width="5.1640625" style="4" customWidth="1"/>
    <col min="49" max="51" width="17.83203125" style="1" customWidth="1"/>
    <col min="52" max="52" width="5.1640625" style="4" customWidth="1"/>
    <col min="53" max="55" width="17.83203125" style="1" customWidth="1"/>
    <col min="56" max="56" width="5.1640625" style="4" customWidth="1"/>
    <col min="57" max="59" width="17.83203125" style="1" customWidth="1"/>
    <col min="60" max="60" width="5.1640625" style="4" customWidth="1"/>
    <col min="61" max="63" width="17.83203125" style="1" customWidth="1"/>
    <col min="64" max="64" width="5.1640625" style="4" customWidth="1"/>
    <col min="65" max="65" width="17.83203125" style="1"/>
    <col min="66" max="67" width="17.83203125" style="4"/>
    <col min="68" max="16384" width="17.83203125" style="1"/>
  </cols>
  <sheetData>
    <row r="1" spans="1:67" ht="20" customHeight="1" x14ac:dyDescent="0.2">
      <c r="A1" s="6" t="s">
        <v>58</v>
      </c>
    </row>
    <row r="2" spans="1:67" ht="14" customHeight="1" x14ac:dyDescent="0.15">
      <c r="A2" s="1" t="s">
        <v>63</v>
      </c>
    </row>
    <row r="3" spans="1:67" ht="14" customHeight="1" x14ac:dyDescent="0.2">
      <c r="A3" s="39" t="s">
        <v>36</v>
      </c>
      <c r="F3" s="5"/>
      <c r="G3" s="44" t="s">
        <v>13</v>
      </c>
      <c r="H3" s="44"/>
      <c r="I3" s="45"/>
      <c r="J3" s="45"/>
      <c r="K3" s="5"/>
      <c r="L3" s="44" t="s">
        <v>17</v>
      </c>
      <c r="M3" s="44"/>
      <c r="N3" s="45"/>
      <c r="O3" s="45"/>
      <c r="P3" s="5"/>
      <c r="Q3" s="5"/>
      <c r="R3" s="5"/>
      <c r="S3" s="46" t="s">
        <v>19</v>
      </c>
      <c r="T3" s="46"/>
      <c r="U3" s="33"/>
      <c r="V3" s="28"/>
      <c r="X3" s="5"/>
      <c r="Y3" s="42" t="s">
        <v>21</v>
      </c>
      <c r="Z3" s="47"/>
      <c r="AA3" s="47"/>
      <c r="AB3" s="5"/>
      <c r="AC3" s="42" t="s">
        <v>45</v>
      </c>
      <c r="AD3" s="47"/>
      <c r="AE3" s="47"/>
      <c r="AF3" s="5"/>
      <c r="AG3" s="42" t="s">
        <v>22</v>
      </c>
      <c r="AH3" s="47"/>
      <c r="AI3" s="47"/>
      <c r="AJ3" s="5"/>
      <c r="AN3" s="5"/>
      <c r="AO3" s="42" t="s">
        <v>23</v>
      </c>
      <c r="AP3" s="43"/>
      <c r="AQ3" s="43"/>
      <c r="AR3" s="5"/>
      <c r="AS3" s="42" t="s">
        <v>24</v>
      </c>
      <c r="AT3" s="43"/>
      <c r="AU3" s="43"/>
      <c r="AV3" s="5"/>
      <c r="AW3" s="42" t="s">
        <v>37</v>
      </c>
      <c r="AX3" s="43"/>
      <c r="AY3" s="43"/>
      <c r="AZ3" s="5"/>
      <c r="BA3" s="42" t="s">
        <v>25</v>
      </c>
      <c r="BB3" s="43"/>
      <c r="BC3" s="43"/>
      <c r="BD3" s="5"/>
      <c r="BE3" s="42" t="s">
        <v>26</v>
      </c>
      <c r="BF3" s="43"/>
      <c r="BG3" s="43"/>
      <c r="BH3" s="5"/>
      <c r="BI3" s="42" t="s">
        <v>27</v>
      </c>
      <c r="BJ3" s="43"/>
      <c r="BK3" s="43"/>
      <c r="BL3" s="5"/>
    </row>
    <row r="4" spans="1:67" s="9" customFormat="1" ht="61" customHeight="1" x14ac:dyDescent="0.15">
      <c r="A4" s="7" t="s">
        <v>0</v>
      </c>
      <c r="B4" s="8"/>
      <c r="D4" s="37" t="s">
        <v>47</v>
      </c>
      <c r="E4" s="10" t="s">
        <v>14</v>
      </c>
      <c r="F4" s="11"/>
      <c r="G4" s="12" t="s">
        <v>64</v>
      </c>
      <c r="H4" s="29" t="s">
        <v>35</v>
      </c>
      <c r="I4" s="12" t="s">
        <v>38</v>
      </c>
      <c r="J4" s="12" t="s">
        <v>39</v>
      </c>
      <c r="K4" s="11"/>
      <c r="L4" s="12" t="s">
        <v>65</v>
      </c>
      <c r="M4" s="29" t="s">
        <v>35</v>
      </c>
      <c r="N4" s="12" t="s">
        <v>40</v>
      </c>
      <c r="O4" s="12" t="s">
        <v>41</v>
      </c>
      <c r="P4" s="11"/>
      <c r="Q4" s="12" t="s">
        <v>18</v>
      </c>
      <c r="R4" s="11"/>
      <c r="S4" s="12" t="s">
        <v>46</v>
      </c>
      <c r="T4" s="12" t="s">
        <v>28</v>
      </c>
      <c r="U4" s="34"/>
      <c r="V4" s="29" t="s">
        <v>30</v>
      </c>
      <c r="W4" s="13" t="s">
        <v>7</v>
      </c>
      <c r="X4" s="11"/>
      <c r="Y4" s="14" t="s">
        <v>15</v>
      </c>
      <c r="Z4" s="14" t="s">
        <v>16</v>
      </c>
      <c r="AA4" s="14" t="s">
        <v>8</v>
      </c>
      <c r="AB4" s="11"/>
      <c r="AC4" s="14" t="s">
        <v>15</v>
      </c>
      <c r="AD4" s="14" t="s">
        <v>16</v>
      </c>
      <c r="AE4" s="14" t="s">
        <v>8</v>
      </c>
      <c r="AF4" s="11"/>
      <c r="AG4" s="14" t="s">
        <v>15</v>
      </c>
      <c r="AH4" s="14" t="s">
        <v>16</v>
      </c>
      <c r="AI4" s="14" t="s">
        <v>8</v>
      </c>
      <c r="AJ4" s="11"/>
      <c r="AK4" s="14" t="s">
        <v>9</v>
      </c>
      <c r="AL4" s="14" t="s">
        <v>10</v>
      </c>
      <c r="AM4" s="14" t="s">
        <v>11</v>
      </c>
      <c r="AN4" s="11"/>
      <c r="AO4" s="14" t="s">
        <v>15</v>
      </c>
      <c r="AP4" s="14" t="s">
        <v>16</v>
      </c>
      <c r="AQ4" s="14" t="s">
        <v>8</v>
      </c>
      <c r="AR4" s="11"/>
      <c r="AS4" s="14" t="s">
        <v>15</v>
      </c>
      <c r="AT4" s="14" t="s">
        <v>16</v>
      </c>
      <c r="AU4" s="14" t="s">
        <v>8</v>
      </c>
      <c r="AV4" s="11"/>
      <c r="AW4" s="14" t="s">
        <v>15</v>
      </c>
      <c r="AX4" s="14" t="s">
        <v>16</v>
      </c>
      <c r="AY4" s="14" t="s">
        <v>8</v>
      </c>
      <c r="AZ4" s="11"/>
      <c r="BA4" s="14" t="s">
        <v>15</v>
      </c>
      <c r="BB4" s="14" t="s">
        <v>16</v>
      </c>
      <c r="BC4" s="14" t="s">
        <v>8</v>
      </c>
      <c r="BD4" s="11"/>
      <c r="BE4" s="14" t="s">
        <v>15</v>
      </c>
      <c r="BF4" s="14" t="s">
        <v>16</v>
      </c>
      <c r="BG4" s="14" t="s">
        <v>8</v>
      </c>
      <c r="BH4" s="11"/>
      <c r="BI4" s="14" t="s">
        <v>15</v>
      </c>
      <c r="BJ4" s="14" t="s">
        <v>16</v>
      </c>
      <c r="BK4" s="14" t="s">
        <v>8</v>
      </c>
      <c r="BL4" s="11"/>
      <c r="BM4" s="14" t="s">
        <v>29</v>
      </c>
      <c r="BN4" s="14" t="s">
        <v>70</v>
      </c>
      <c r="BO4" s="14" t="s">
        <v>12</v>
      </c>
    </row>
    <row r="5" spans="1:67" s="9" customFormat="1" ht="13" customHeight="1" x14ac:dyDescent="0.2">
      <c r="A5" s="15" t="s">
        <v>66</v>
      </c>
      <c r="B5" s="8">
        <v>2.7</v>
      </c>
      <c r="D5" s="38">
        <v>0</v>
      </c>
      <c r="E5" s="41">
        <f>Zero_date</f>
        <v>43831</v>
      </c>
      <c r="F5" s="16"/>
      <c r="G5" s="17" t="str">
        <f>IF(OR(I5&lt;10,ISBLANK(I6)),"",I6/I5)</f>
        <v/>
      </c>
      <c r="H5" s="40">
        <f t="shared" ref="H5:H41" si="0">IF(IF(OR(J5=0,ISBLANK(J6)),"",J6/J5)="","",IF(IF(OR(J5=0,ISBLANK(J6)),"",J6/J5)&lt;=1,"∞",Serial*(LN(2)/LN(IF(OR(J5=0,ISBLANK(J6)),"",J6/J5)))))</f>
        <v>2.5</v>
      </c>
      <c r="I5" s="16">
        <f>Initial_cases</f>
        <v>1</v>
      </c>
      <c r="J5" s="16">
        <f>SUM(I$5:I5)</f>
        <v>1</v>
      </c>
      <c r="K5" s="16"/>
      <c r="L5" s="18" t="str">
        <f ca="1">IF(OR(N5&lt;10,ISBLANK(N6)),"",N6/N5)</f>
        <v/>
      </c>
      <c r="M5" s="40" t="str">
        <f t="shared" ref="M5:M40" ca="1" si="1">IF(IF(OR(O5=0,ISBLANK(O6)),"",O6/O5)="","",IF(IF(OR(O5=0,ISBLANK(O6)),"",O6/O5)&lt;=1,"∞",Serial*(LN(2)/LN(IF(OR(O5=0,ISBLANK(O6)),"",O6/O5)))))</f>
        <v/>
      </c>
      <c r="N5" s="16">
        <f t="shared" ref="N5:N40" ca="1" si="2">IF(ISERROR(OFFSET(BM5,-Delay,0)*1),0,OFFSET(BM5,-Delay,0))</f>
        <v>0</v>
      </c>
      <c r="O5" s="16">
        <f ca="1">SUM(N$5:N5)</f>
        <v>0</v>
      </c>
      <c r="P5" s="16"/>
      <c r="Q5" s="19">
        <f ca="1">O5/J5</f>
        <v>0</v>
      </c>
      <c r="R5" s="16"/>
      <c r="S5" s="16">
        <f t="shared" ref="S5:S41" ca="1" si="3">IF(ISERROR(OFFSET(BA5,-Delay,0)+OFFSET(BB5,-Delay,0)+OFFSET(BC5,-Delay,0)),0,OFFSET(BA5,-Delay,0)+OFFSET(BB5,-Delay,0)+OFFSET(BC5,-Delay,0))</f>
        <v>0</v>
      </c>
      <c r="T5" s="19" t="str">
        <f ca="1">IF(S5=0,"",N5/S5)</f>
        <v/>
      </c>
      <c r="U5" s="35"/>
      <c r="V5" s="30">
        <f t="shared" ref="V5:V41" si="4">IF(AND(D5&gt;=Begin_lockdown,Begin_lockdown&lt;&gt;""),Ro_lockdown,IF(AND(D5&gt;=Begin_intermediate,Begin_intermediate&lt;&gt;""),Ro_intermediate,Ro_uncontrolled))</f>
        <v>2.7</v>
      </c>
      <c r="W5" s="16">
        <f t="shared" ref="W5:W41" si="5">Population-J5</f>
        <v>9999999</v>
      </c>
      <c r="X5" s="16"/>
      <c r="Y5" s="16">
        <f t="shared" ref="Y5:Y41" si="6">ROUND(I5*(1-Pct_asy-Pct_mild),0)</f>
        <v>0</v>
      </c>
      <c r="Z5" s="16">
        <f t="shared" ref="Z5:Z41" si="7">ROUND(I5*Pct_mild,0)</f>
        <v>1</v>
      </c>
      <c r="AA5" s="16">
        <f t="shared" ref="AA5:AA41" si="8">I5-Y5-Z5</f>
        <v>0</v>
      </c>
      <c r="AB5" s="16"/>
      <c r="AC5" s="16">
        <f t="shared" ref="AC5:AC41" si="9">ROUND((Population-SUM(Y5:AA5))*(Faux_severe),0)+Y5</f>
        <v>10000</v>
      </c>
      <c r="AD5" s="16">
        <f t="shared" ref="AD5:AD41" si="10">ROUND((Population-SUM(Y5:AA5))*(Faux_mild),0)+Z5</f>
        <v>250001</v>
      </c>
      <c r="AE5" s="16">
        <f t="shared" ref="AE5:AE41" si="11">Population-AC5-AD5</f>
        <v>9739999</v>
      </c>
      <c r="AF5" s="16"/>
      <c r="AG5" s="16">
        <f>ROUND(AC5*Desire_severe,0)</f>
        <v>10000</v>
      </c>
      <c r="AH5" s="16">
        <f>ROUND(AD5*Desire_mild,0)</f>
        <v>125001</v>
      </c>
      <c r="AI5" s="16">
        <f t="shared" ref="AI5" si="12">ROUND(AE5*Desire_asy,0)</f>
        <v>194800</v>
      </c>
      <c r="AJ5" s="16"/>
      <c r="AK5" s="16">
        <v>0</v>
      </c>
      <c r="AL5" s="16">
        <f t="shared" ref="AL5:AL35" si="13">ROUND(AK5*Rationed_tests,0)</f>
        <v>0</v>
      </c>
      <c r="AM5" s="16">
        <f>AK5-AL5</f>
        <v>0</v>
      </c>
      <c r="AN5" s="16"/>
      <c r="AO5" s="16">
        <f>MIN(AL5,AG5)</f>
        <v>0</v>
      </c>
      <c r="AP5" s="16">
        <f>MIN(AH5,AL5-AO5)</f>
        <v>0</v>
      </c>
      <c r="AQ5" s="16">
        <f>MIN(AI5,AL5-AO5-AP5)</f>
        <v>0</v>
      </c>
      <c r="AR5" s="16"/>
      <c r="AS5" s="16">
        <f>AG5-AO5</f>
        <v>10000</v>
      </c>
      <c r="AT5" s="16">
        <f t="shared" ref="AT5:AU20" si="14">AH5-AP5</f>
        <v>125001</v>
      </c>
      <c r="AU5" s="16">
        <f t="shared" si="14"/>
        <v>194800</v>
      </c>
      <c r="AV5" s="16"/>
      <c r="AW5" s="16">
        <f>IF(SUM($AS5:$AU5)=0,0,ROUND($AM5*AS5/SUM($AS5:$AU5),0))</f>
        <v>0</v>
      </c>
      <c r="AX5" s="16">
        <f t="shared" ref="AX5:AX41" si="15">IF(SUM($AS5:$AU5)=0,0,ROUND($AM5*AT5/SUM($AS5:$AU5),0))</f>
        <v>0</v>
      </c>
      <c r="AY5" s="16">
        <f>IF(SUM($AS5:$AU5)=0,0,MIN(AU5,AM5-AW5-AX5))</f>
        <v>0</v>
      </c>
      <c r="AZ5" s="16"/>
      <c r="BA5" s="16">
        <f>AW5+AO5</f>
        <v>0</v>
      </c>
      <c r="BB5" s="16">
        <f t="shared" ref="BB5:BC20" si="16">AX5+AP5</f>
        <v>0</v>
      </c>
      <c r="BC5" s="16">
        <f t="shared" si="16"/>
        <v>0</v>
      </c>
      <c r="BD5" s="16"/>
      <c r="BE5" s="20">
        <f>Y5/AC5</f>
        <v>0</v>
      </c>
      <c r="BF5" s="20">
        <f t="shared" ref="BF5:BG20" si="17">Z5/AD5</f>
        <v>3.9999840000639995E-6</v>
      </c>
      <c r="BG5" s="20">
        <f t="shared" si="17"/>
        <v>0</v>
      </c>
      <c r="BH5" s="16"/>
      <c r="BI5" s="16">
        <f t="shared" ref="BI5:BI40" si="18">ROUND(BA5*BE5*(1-False_negative),0)+ROUND(BA5*(1-BE5)*(False_positive),0)</f>
        <v>0</v>
      </c>
      <c r="BJ5" s="16">
        <f t="shared" ref="BJ5:BJ40" si="19">ROUND(BB5*BF5*(1-False_negative),0)+ROUND(BB5*(1-BF5)*(False_positive),0)</f>
        <v>0</v>
      </c>
      <c r="BK5" s="16">
        <f t="shared" ref="BK5:BK40" si="20">ROUND(BC5*BG5*(1-False_negative),0)+ROUND(BC5*(1-BG5)*(False_positive),0)</f>
        <v>0</v>
      </c>
      <c r="BL5" s="16"/>
      <c r="BM5" s="16">
        <f>BI5+BJ5+BK5</f>
        <v>0</v>
      </c>
      <c r="BN5" s="21"/>
      <c r="BO5" s="21"/>
    </row>
    <row r="6" spans="1:67" s="9" customFormat="1" ht="13" customHeight="1" x14ac:dyDescent="0.2">
      <c r="A6" s="15" t="s">
        <v>67</v>
      </c>
      <c r="B6" s="8">
        <v>1.4</v>
      </c>
      <c r="D6" s="38">
        <f>D5+1</f>
        <v>1</v>
      </c>
      <c r="E6" s="41">
        <f t="shared" ref="E6:E41" si="21">E5+Serial</f>
        <v>43836</v>
      </c>
      <c r="F6" s="16"/>
      <c r="G6" s="17" t="str">
        <f t="shared" ref="G6:G41" si="22">IF(OR(I6&lt;10,ISBLANK(I7)),"",I7/I6)</f>
        <v/>
      </c>
      <c r="H6" s="40">
        <f t="shared" si="0"/>
        <v>3.154648767857287</v>
      </c>
      <c r="I6" s="16">
        <f t="shared" ref="I6:I41" si="23">ROUND(W5*(1-(1-((V5*(1-J5/Population)^VLOOKUP(Cluster,Cluster_vlookup,2,0))/Population))^I5),0)</f>
        <v>3</v>
      </c>
      <c r="J6" s="16">
        <f>SUM(I$5:I6)</f>
        <v>4</v>
      </c>
      <c r="K6" s="16"/>
      <c r="L6" s="18" t="str">
        <f t="shared" ref="L6:L41" ca="1" si="24">IF(OR(N6&lt;10,ISBLANK(N7)),"",N7/N6)</f>
        <v/>
      </c>
      <c r="M6" s="40" t="str">
        <f t="shared" ca="1" si="1"/>
        <v/>
      </c>
      <c r="N6" s="16">
        <f t="shared" ca="1" si="2"/>
        <v>0</v>
      </c>
      <c r="O6" s="16">
        <f ca="1">SUM(N$5:N6)</f>
        <v>0</v>
      </c>
      <c r="P6" s="16"/>
      <c r="Q6" s="19">
        <f t="shared" ref="Q6:Q41" ca="1" si="25">O6/J6</f>
        <v>0</v>
      </c>
      <c r="R6" s="16"/>
      <c r="S6" s="16">
        <f t="shared" ca="1" si="3"/>
        <v>0</v>
      </c>
      <c r="T6" s="19" t="str">
        <f t="shared" ref="T6:T41" ca="1" si="26">IF(S6=0,"",N6/S6)</f>
        <v/>
      </c>
      <c r="U6" s="35"/>
      <c r="V6" s="30">
        <f t="shared" si="4"/>
        <v>2.7</v>
      </c>
      <c r="W6" s="16">
        <f t="shared" si="5"/>
        <v>9999996</v>
      </c>
      <c r="X6" s="16"/>
      <c r="Y6" s="16">
        <f t="shared" si="6"/>
        <v>0</v>
      </c>
      <c r="Z6" s="16">
        <f t="shared" si="7"/>
        <v>2</v>
      </c>
      <c r="AA6" s="16">
        <f t="shared" si="8"/>
        <v>1</v>
      </c>
      <c r="AB6" s="16"/>
      <c r="AC6" s="16">
        <f t="shared" si="9"/>
        <v>10000</v>
      </c>
      <c r="AD6" s="16">
        <f t="shared" si="10"/>
        <v>250002</v>
      </c>
      <c r="AE6" s="16">
        <f t="shared" si="11"/>
        <v>9739998</v>
      </c>
      <c r="AF6" s="16"/>
      <c r="AG6" s="16">
        <f>ROUND(AC6*Desire_severe*(1-SUM($BA$5:$BC5)/Population),0)</f>
        <v>10000</v>
      </c>
      <c r="AH6" s="16">
        <f>ROUND(AD6*Desire_mild*(1-SUM($BA$5:$BC5)/Population),0)</f>
        <v>125001</v>
      </c>
      <c r="AI6" s="16">
        <f>ROUND(AE6*Desire_asy*(1-SUM($BA$5:$BC5)/Population),0)</f>
        <v>194800</v>
      </c>
      <c r="AJ6" s="16"/>
      <c r="AK6" s="16">
        <f>Initial_tests</f>
        <v>500</v>
      </c>
      <c r="AL6" s="16">
        <f t="shared" si="13"/>
        <v>375</v>
      </c>
      <c r="AM6" s="16">
        <f t="shared" ref="AM6:AM41" si="27">AK6-AL6</f>
        <v>125</v>
      </c>
      <c r="AN6" s="16"/>
      <c r="AO6" s="16">
        <f>MIN(AL6,AG6)</f>
        <v>375</v>
      </c>
      <c r="AP6" s="16">
        <f>MIN(AH6,AL6-AO6)</f>
        <v>0</v>
      </c>
      <c r="AQ6" s="16">
        <f t="shared" ref="AQ6:AQ41" si="28">MIN(AI6,AL6-AO6-AP6)</f>
        <v>0</v>
      </c>
      <c r="AR6" s="16"/>
      <c r="AS6" s="16">
        <f>AG6-AO6</f>
        <v>9625</v>
      </c>
      <c r="AT6" s="16">
        <f t="shared" si="14"/>
        <v>125001</v>
      </c>
      <c r="AU6" s="16">
        <f t="shared" si="14"/>
        <v>194800</v>
      </c>
      <c r="AV6" s="16"/>
      <c r="AW6" s="16">
        <f t="shared" ref="AW6:AW41" si="29">IF(SUM($AS6:$AU6)=0,0,ROUND($AM6*AS6/SUM($AS6:$AU6),0))</f>
        <v>4</v>
      </c>
      <c r="AX6" s="16">
        <f t="shared" si="15"/>
        <v>47</v>
      </c>
      <c r="AY6" s="16">
        <f t="shared" ref="AY6:AY41" si="30">IF(SUM($AS6:$AU6)=0,0,MIN(AU6,AM6-AW6-AX6))</f>
        <v>74</v>
      </c>
      <c r="AZ6" s="16"/>
      <c r="BA6" s="16">
        <f t="shared" ref="BA6:BC35" si="31">AW6+AO6</f>
        <v>379</v>
      </c>
      <c r="BB6" s="16">
        <f t="shared" si="16"/>
        <v>47</v>
      </c>
      <c r="BC6" s="16">
        <f t="shared" si="16"/>
        <v>74</v>
      </c>
      <c r="BD6" s="16"/>
      <c r="BE6" s="20">
        <f t="shared" ref="BE6:BG35" si="32">Y6/AC6</f>
        <v>0</v>
      </c>
      <c r="BF6" s="20">
        <f t="shared" si="17"/>
        <v>7.9999360005119954E-6</v>
      </c>
      <c r="BG6" s="20">
        <f t="shared" si="17"/>
        <v>1.0266942559947138E-7</v>
      </c>
      <c r="BH6" s="16"/>
      <c r="BI6" s="16">
        <f t="shared" si="18"/>
        <v>1</v>
      </c>
      <c r="BJ6" s="16">
        <f t="shared" si="19"/>
        <v>0</v>
      </c>
      <c r="BK6" s="16">
        <f t="shared" si="20"/>
        <v>0</v>
      </c>
      <c r="BL6" s="16"/>
      <c r="BM6" s="16">
        <f t="shared" ref="BM6:BM41" si="33">BI6+BJ6+BK6</f>
        <v>1</v>
      </c>
      <c r="BN6" s="21" t="str">
        <f>IF(BM5=0,"",BM6/BM5)</f>
        <v/>
      </c>
      <c r="BO6" s="21"/>
    </row>
    <row r="7" spans="1:67" s="9" customFormat="1" ht="13" customHeight="1" x14ac:dyDescent="0.2">
      <c r="A7" s="15" t="s">
        <v>68</v>
      </c>
      <c r="B7" s="8">
        <v>0.7</v>
      </c>
      <c r="D7" s="38">
        <f t="shared" ref="D7:D41" si="34">D6+1</f>
        <v>2</v>
      </c>
      <c r="E7" s="41">
        <f t="shared" si="21"/>
        <v>43841</v>
      </c>
      <c r="F7" s="16"/>
      <c r="G7" s="17" t="str">
        <f t="shared" si="22"/>
        <v/>
      </c>
      <c r="H7" s="40">
        <f t="shared" si="0"/>
        <v>3.3277862674154139</v>
      </c>
      <c r="I7" s="16">
        <f t="shared" si="23"/>
        <v>8</v>
      </c>
      <c r="J7" s="16">
        <f>SUM(I$5:I7)</f>
        <v>12</v>
      </c>
      <c r="K7" s="16"/>
      <c r="L7" s="18" t="str">
        <f t="shared" ca="1" si="24"/>
        <v/>
      </c>
      <c r="M7" s="40" t="str">
        <f t="shared" ca="1" si="1"/>
        <v/>
      </c>
      <c r="N7" s="16">
        <f t="shared" ca="1" si="2"/>
        <v>0</v>
      </c>
      <c r="O7" s="16">
        <f ca="1">SUM(N$5:N7)</f>
        <v>0</v>
      </c>
      <c r="P7" s="16"/>
      <c r="Q7" s="19">
        <f t="shared" ca="1" si="25"/>
        <v>0</v>
      </c>
      <c r="R7" s="16"/>
      <c r="S7" s="16">
        <f t="shared" ca="1" si="3"/>
        <v>0</v>
      </c>
      <c r="T7" s="19" t="str">
        <f t="shared" ca="1" si="26"/>
        <v/>
      </c>
      <c r="U7" s="35"/>
      <c r="V7" s="30">
        <f t="shared" si="4"/>
        <v>2.7</v>
      </c>
      <c r="W7" s="16">
        <f t="shared" si="5"/>
        <v>9999988</v>
      </c>
      <c r="X7" s="16"/>
      <c r="Y7" s="16">
        <f t="shared" si="6"/>
        <v>1</v>
      </c>
      <c r="Z7" s="16">
        <f t="shared" si="7"/>
        <v>5</v>
      </c>
      <c r="AA7" s="16">
        <f t="shared" si="8"/>
        <v>2</v>
      </c>
      <c r="AB7" s="16"/>
      <c r="AC7" s="16">
        <f t="shared" si="9"/>
        <v>10001</v>
      </c>
      <c r="AD7" s="16">
        <f t="shared" si="10"/>
        <v>250005</v>
      </c>
      <c r="AE7" s="16">
        <f t="shared" si="11"/>
        <v>9739994</v>
      </c>
      <c r="AF7" s="16"/>
      <c r="AG7" s="16">
        <f>ROUND(AC7*Desire_severe*(1-SUM($BA$5:$BC6)/Population),0)</f>
        <v>10000</v>
      </c>
      <c r="AH7" s="16">
        <f>ROUND(AD7*Desire_mild*(1-SUM($BA$5:$BC6)/Population),0)</f>
        <v>124996</v>
      </c>
      <c r="AI7" s="16">
        <f>ROUND(AE7*Desire_asy*(1-SUM($BA$5:$BC6)/Population),0)</f>
        <v>194790</v>
      </c>
      <c r="AJ7" s="16"/>
      <c r="AK7" s="16">
        <f t="shared" ref="AK7:AK41" si="35">ROUND(IF(D7&gt;=Ramp_period,MIN(Tests_max,AK6*Test_growth_rate+AK6),AK6),0)</f>
        <v>500</v>
      </c>
      <c r="AL7" s="16">
        <f t="shared" si="13"/>
        <v>375</v>
      </c>
      <c r="AM7" s="16">
        <f t="shared" si="27"/>
        <v>125</v>
      </c>
      <c r="AN7" s="16"/>
      <c r="AO7" s="16">
        <f t="shared" ref="AO7:AO41" si="36">MIN(AL7,AG7)</f>
        <v>375</v>
      </c>
      <c r="AP7" s="16">
        <f t="shared" ref="AP7:AP41" si="37">MIN(AH7,AL7-AO7)</f>
        <v>0</v>
      </c>
      <c r="AQ7" s="16">
        <f t="shared" si="28"/>
        <v>0</v>
      </c>
      <c r="AR7" s="16"/>
      <c r="AS7" s="16">
        <f t="shared" ref="AS7:AU35" si="38">AG7-AO7</f>
        <v>9625</v>
      </c>
      <c r="AT7" s="16">
        <f t="shared" si="14"/>
        <v>124996</v>
      </c>
      <c r="AU7" s="16">
        <f t="shared" si="14"/>
        <v>194790</v>
      </c>
      <c r="AV7" s="16"/>
      <c r="AW7" s="16">
        <f t="shared" si="29"/>
        <v>4</v>
      </c>
      <c r="AX7" s="16">
        <f t="shared" si="15"/>
        <v>47</v>
      </c>
      <c r="AY7" s="16">
        <f t="shared" si="30"/>
        <v>74</v>
      </c>
      <c r="AZ7" s="16"/>
      <c r="BA7" s="16">
        <f t="shared" si="31"/>
        <v>379</v>
      </c>
      <c r="BB7" s="16">
        <f t="shared" si="16"/>
        <v>47</v>
      </c>
      <c r="BC7" s="16">
        <f t="shared" si="16"/>
        <v>74</v>
      </c>
      <c r="BD7" s="16"/>
      <c r="BE7" s="20">
        <f t="shared" si="32"/>
        <v>9.9990000999900015E-5</v>
      </c>
      <c r="BF7" s="20">
        <f t="shared" si="17"/>
        <v>1.9999600007999841E-5</v>
      </c>
      <c r="BG7" s="20">
        <f t="shared" si="17"/>
        <v>2.0533893552706502E-7</v>
      </c>
      <c r="BH7" s="16"/>
      <c r="BI7" s="16">
        <f t="shared" si="18"/>
        <v>1</v>
      </c>
      <c r="BJ7" s="16">
        <f t="shared" si="19"/>
        <v>0</v>
      </c>
      <c r="BK7" s="16">
        <f t="shared" si="20"/>
        <v>0</v>
      </c>
      <c r="BL7" s="16"/>
      <c r="BM7" s="16">
        <f t="shared" si="33"/>
        <v>1</v>
      </c>
      <c r="BN7" s="22">
        <f t="shared" ref="BN7:BN41" si="39">IF(BM6=0,"",BM7/BM6)</f>
        <v>1</v>
      </c>
      <c r="BO7" s="19">
        <f>BM7/SUM(BA7:BC7)</f>
        <v>2E-3</v>
      </c>
    </row>
    <row r="8" spans="1:67" s="9" customFormat="1" ht="13" customHeight="1" x14ac:dyDescent="0.2">
      <c r="A8" s="15" t="s">
        <v>69</v>
      </c>
      <c r="B8" s="8" t="s">
        <v>32</v>
      </c>
      <c r="D8" s="38">
        <f t="shared" si="34"/>
        <v>3</v>
      </c>
      <c r="E8" s="41">
        <f t="shared" si="21"/>
        <v>43846</v>
      </c>
      <c r="F8" s="16"/>
      <c r="G8" s="17">
        <f t="shared" si="22"/>
        <v>2.6818181818181817</v>
      </c>
      <c r="H8" s="40">
        <f t="shared" si="0"/>
        <v>3.4442473519370203</v>
      </c>
      <c r="I8" s="16">
        <f t="shared" si="23"/>
        <v>22</v>
      </c>
      <c r="J8" s="16">
        <f>SUM(I$5:I8)</f>
        <v>34</v>
      </c>
      <c r="K8" s="16"/>
      <c r="L8" s="18" t="str">
        <f t="shared" ca="1" si="24"/>
        <v/>
      </c>
      <c r="M8" s="40">
        <f t="shared" ca="1" si="1"/>
        <v>5</v>
      </c>
      <c r="N8" s="16">
        <f t="shared" ca="1" si="2"/>
        <v>1</v>
      </c>
      <c r="O8" s="16">
        <f ca="1">SUM(N$5:N8)</f>
        <v>1</v>
      </c>
      <c r="P8" s="16"/>
      <c r="Q8" s="19">
        <f t="shared" ca="1" si="25"/>
        <v>2.9411764705882353E-2</v>
      </c>
      <c r="R8" s="16"/>
      <c r="S8" s="16">
        <f t="shared" ca="1" si="3"/>
        <v>500</v>
      </c>
      <c r="T8" s="19">
        <f t="shared" ca="1" si="26"/>
        <v>2E-3</v>
      </c>
      <c r="U8" s="35"/>
      <c r="V8" s="30">
        <f t="shared" si="4"/>
        <v>2.7</v>
      </c>
      <c r="W8" s="16">
        <f t="shared" si="5"/>
        <v>9999966</v>
      </c>
      <c r="X8" s="16"/>
      <c r="Y8" s="16">
        <f t="shared" si="6"/>
        <v>2</v>
      </c>
      <c r="Z8" s="16">
        <f t="shared" si="7"/>
        <v>13</v>
      </c>
      <c r="AA8" s="16">
        <f t="shared" si="8"/>
        <v>7</v>
      </c>
      <c r="AB8" s="16"/>
      <c r="AC8" s="16">
        <f t="shared" si="9"/>
        <v>10002</v>
      </c>
      <c r="AD8" s="16">
        <f t="shared" si="10"/>
        <v>250012</v>
      </c>
      <c r="AE8" s="16">
        <f t="shared" si="11"/>
        <v>9739986</v>
      </c>
      <c r="AF8" s="16"/>
      <c r="AG8" s="16">
        <f>ROUND(AC8*Desire_severe*(1-SUM($BA$5:$BC7)/Population),0)</f>
        <v>10001</v>
      </c>
      <c r="AH8" s="16">
        <f>ROUND(AD8*Desire_mild*(1-SUM($BA$5:$BC7)/Population),0)</f>
        <v>124993</v>
      </c>
      <c r="AI8" s="16">
        <f>ROUND(AE8*Desire_asy*(1-SUM($BA$5:$BC7)/Population),0)</f>
        <v>194780</v>
      </c>
      <c r="AJ8" s="16"/>
      <c r="AK8" s="16">
        <f t="shared" si="35"/>
        <v>500</v>
      </c>
      <c r="AL8" s="16">
        <f t="shared" si="13"/>
        <v>375</v>
      </c>
      <c r="AM8" s="16">
        <f t="shared" si="27"/>
        <v>125</v>
      </c>
      <c r="AN8" s="16"/>
      <c r="AO8" s="16">
        <f t="shared" si="36"/>
        <v>375</v>
      </c>
      <c r="AP8" s="16">
        <f t="shared" si="37"/>
        <v>0</v>
      </c>
      <c r="AQ8" s="16">
        <f t="shared" si="28"/>
        <v>0</v>
      </c>
      <c r="AR8" s="16"/>
      <c r="AS8" s="16">
        <f t="shared" si="38"/>
        <v>9626</v>
      </c>
      <c r="AT8" s="16">
        <f t="shared" si="14"/>
        <v>124993</v>
      </c>
      <c r="AU8" s="16">
        <f t="shared" si="14"/>
        <v>194780</v>
      </c>
      <c r="AV8" s="16"/>
      <c r="AW8" s="16">
        <f t="shared" si="29"/>
        <v>4</v>
      </c>
      <c r="AX8" s="16">
        <f t="shared" si="15"/>
        <v>47</v>
      </c>
      <c r="AY8" s="16">
        <f t="shared" si="30"/>
        <v>74</v>
      </c>
      <c r="AZ8" s="16"/>
      <c r="BA8" s="16">
        <f t="shared" si="31"/>
        <v>379</v>
      </c>
      <c r="BB8" s="16">
        <f t="shared" si="16"/>
        <v>47</v>
      </c>
      <c r="BC8" s="16">
        <f t="shared" si="16"/>
        <v>74</v>
      </c>
      <c r="BD8" s="16"/>
      <c r="BE8" s="20">
        <f t="shared" si="32"/>
        <v>1.9996000799840031E-4</v>
      </c>
      <c r="BF8" s="20">
        <f t="shared" si="17"/>
        <v>5.1997504119802249E-5</v>
      </c>
      <c r="BG8" s="20">
        <f t="shared" si="17"/>
        <v>7.1868686464231058E-7</v>
      </c>
      <c r="BH8" s="16"/>
      <c r="BI8" s="16">
        <f t="shared" si="18"/>
        <v>1</v>
      </c>
      <c r="BJ8" s="16">
        <f t="shared" si="19"/>
        <v>0</v>
      </c>
      <c r="BK8" s="16">
        <f t="shared" si="20"/>
        <v>0</v>
      </c>
      <c r="BL8" s="16"/>
      <c r="BM8" s="16">
        <f t="shared" si="33"/>
        <v>1</v>
      </c>
      <c r="BN8" s="22">
        <f t="shared" si="39"/>
        <v>1</v>
      </c>
      <c r="BO8" s="19">
        <f t="shared" ref="BO8:BO35" si="40">BM8/SUM(BA8:BC8)</f>
        <v>2E-3</v>
      </c>
    </row>
    <row r="9" spans="1:67" s="9" customFormat="1" ht="13" customHeight="1" x14ac:dyDescent="0.15">
      <c r="B9" s="8"/>
      <c r="D9" s="38">
        <f t="shared" si="34"/>
        <v>4</v>
      </c>
      <c r="E9" s="41">
        <f t="shared" si="21"/>
        <v>43851</v>
      </c>
      <c r="F9" s="16"/>
      <c r="G9" s="17">
        <f t="shared" si="22"/>
        <v>2.6949152542372881</v>
      </c>
      <c r="H9" s="40">
        <f t="shared" si="0"/>
        <v>3.476758638000935</v>
      </c>
      <c r="I9" s="16">
        <f t="shared" si="23"/>
        <v>59</v>
      </c>
      <c r="J9" s="16">
        <f>SUM(I$5:I9)</f>
        <v>93</v>
      </c>
      <c r="K9" s="16"/>
      <c r="L9" s="18" t="str">
        <f t="shared" ca="1" si="24"/>
        <v/>
      </c>
      <c r="M9" s="40">
        <f t="shared" ca="1" si="1"/>
        <v>8.5475564567572739</v>
      </c>
      <c r="N9" s="16">
        <f t="shared" ca="1" si="2"/>
        <v>1</v>
      </c>
      <c r="O9" s="16">
        <f ca="1">SUM(N$5:N9)</f>
        <v>2</v>
      </c>
      <c r="P9" s="16"/>
      <c r="Q9" s="19">
        <f t="shared" ca="1" si="25"/>
        <v>2.1505376344086023E-2</v>
      </c>
      <c r="R9" s="16"/>
      <c r="S9" s="16">
        <f t="shared" ca="1" si="3"/>
        <v>500</v>
      </c>
      <c r="T9" s="19">
        <f t="shared" ca="1" si="26"/>
        <v>2E-3</v>
      </c>
      <c r="U9" s="35"/>
      <c r="V9" s="30">
        <f t="shared" si="4"/>
        <v>2.7</v>
      </c>
      <c r="W9" s="16">
        <f t="shared" si="5"/>
        <v>9999907</v>
      </c>
      <c r="X9" s="16"/>
      <c r="Y9" s="16">
        <f t="shared" si="6"/>
        <v>6</v>
      </c>
      <c r="Z9" s="16">
        <f t="shared" si="7"/>
        <v>35</v>
      </c>
      <c r="AA9" s="16">
        <f t="shared" si="8"/>
        <v>18</v>
      </c>
      <c r="AB9" s="16"/>
      <c r="AC9" s="16">
        <f t="shared" si="9"/>
        <v>10006</v>
      </c>
      <c r="AD9" s="16">
        <f t="shared" si="10"/>
        <v>250034</v>
      </c>
      <c r="AE9" s="16">
        <f t="shared" si="11"/>
        <v>9739960</v>
      </c>
      <c r="AF9" s="16"/>
      <c r="AG9" s="16">
        <f>ROUND(AC9*Desire_severe*(1-SUM($BA$5:$BC8)/Population),0)</f>
        <v>10004</v>
      </c>
      <c r="AH9" s="16">
        <f>ROUND(AD9*Desire_mild*(1-SUM($BA$5:$BC8)/Population),0)</f>
        <v>124998</v>
      </c>
      <c r="AI9" s="16">
        <f>ROUND(AE9*Desire_asy*(1-SUM($BA$5:$BC8)/Population),0)</f>
        <v>194770</v>
      </c>
      <c r="AJ9" s="16"/>
      <c r="AK9" s="16">
        <f t="shared" si="35"/>
        <v>500</v>
      </c>
      <c r="AL9" s="16">
        <f t="shared" si="13"/>
        <v>375</v>
      </c>
      <c r="AM9" s="16">
        <f t="shared" si="27"/>
        <v>125</v>
      </c>
      <c r="AN9" s="16"/>
      <c r="AO9" s="16">
        <f t="shared" si="36"/>
        <v>375</v>
      </c>
      <c r="AP9" s="16">
        <f t="shared" si="37"/>
        <v>0</v>
      </c>
      <c r="AQ9" s="16">
        <f t="shared" si="28"/>
        <v>0</v>
      </c>
      <c r="AR9" s="16"/>
      <c r="AS9" s="16">
        <f t="shared" si="38"/>
        <v>9629</v>
      </c>
      <c r="AT9" s="16">
        <f t="shared" si="14"/>
        <v>124998</v>
      </c>
      <c r="AU9" s="16">
        <f t="shared" si="14"/>
        <v>194770</v>
      </c>
      <c r="AV9" s="16"/>
      <c r="AW9" s="16">
        <f t="shared" si="29"/>
        <v>4</v>
      </c>
      <c r="AX9" s="16">
        <f t="shared" si="15"/>
        <v>47</v>
      </c>
      <c r="AY9" s="16">
        <f t="shared" si="30"/>
        <v>74</v>
      </c>
      <c r="AZ9" s="16"/>
      <c r="BA9" s="16">
        <f t="shared" si="31"/>
        <v>379</v>
      </c>
      <c r="BB9" s="16">
        <f t="shared" si="16"/>
        <v>47</v>
      </c>
      <c r="BC9" s="16">
        <f t="shared" si="16"/>
        <v>74</v>
      </c>
      <c r="BD9" s="16"/>
      <c r="BE9" s="20">
        <f t="shared" si="32"/>
        <v>5.9964021587047766E-4</v>
      </c>
      <c r="BF9" s="20">
        <f t="shared" si="17"/>
        <v>1.3998096258908789E-4</v>
      </c>
      <c r="BG9" s="20">
        <f t="shared" si="17"/>
        <v>1.8480568708701063E-6</v>
      </c>
      <c r="BH9" s="16"/>
      <c r="BI9" s="16">
        <f t="shared" si="18"/>
        <v>1</v>
      </c>
      <c r="BJ9" s="16">
        <f t="shared" si="19"/>
        <v>0</v>
      </c>
      <c r="BK9" s="16">
        <f t="shared" si="20"/>
        <v>0</v>
      </c>
      <c r="BL9" s="16"/>
      <c r="BM9" s="16">
        <f t="shared" si="33"/>
        <v>1</v>
      </c>
      <c r="BN9" s="22">
        <f t="shared" si="39"/>
        <v>1</v>
      </c>
      <c r="BO9" s="19">
        <f t="shared" si="40"/>
        <v>2E-3</v>
      </c>
    </row>
    <row r="10" spans="1:67" s="9" customFormat="1" ht="13" customHeight="1" x14ac:dyDescent="0.15">
      <c r="A10" s="15" t="s">
        <v>60</v>
      </c>
      <c r="B10" s="8">
        <v>11</v>
      </c>
      <c r="D10" s="38">
        <f t="shared" si="34"/>
        <v>5</v>
      </c>
      <c r="E10" s="41">
        <f t="shared" si="21"/>
        <v>43856</v>
      </c>
      <c r="F10" s="16"/>
      <c r="G10" s="17">
        <f t="shared" si="22"/>
        <v>2.6981132075471699</v>
      </c>
      <c r="H10" s="40">
        <f t="shared" si="0"/>
        <v>3.486188609156029</v>
      </c>
      <c r="I10" s="16">
        <f t="shared" si="23"/>
        <v>159</v>
      </c>
      <c r="J10" s="16">
        <f>SUM(I$5:I10)</f>
        <v>252</v>
      </c>
      <c r="K10" s="16"/>
      <c r="L10" s="18" t="str">
        <f t="shared" ca="1" si="24"/>
        <v/>
      </c>
      <c r="M10" s="40">
        <f t="shared" ca="1" si="1"/>
        <v>12.047104198266048</v>
      </c>
      <c r="N10" s="16">
        <f t="shared" ca="1" si="2"/>
        <v>1</v>
      </c>
      <c r="O10" s="16">
        <f ca="1">SUM(N$5:N10)</f>
        <v>3</v>
      </c>
      <c r="P10" s="16"/>
      <c r="Q10" s="19">
        <f t="shared" ca="1" si="25"/>
        <v>1.1904761904761904E-2</v>
      </c>
      <c r="R10" s="16"/>
      <c r="S10" s="16">
        <f t="shared" ca="1" si="3"/>
        <v>500</v>
      </c>
      <c r="T10" s="19">
        <f t="shared" ca="1" si="26"/>
        <v>2E-3</v>
      </c>
      <c r="U10" s="35"/>
      <c r="V10" s="30">
        <f t="shared" si="4"/>
        <v>2.7</v>
      </c>
      <c r="W10" s="16">
        <f t="shared" si="5"/>
        <v>9999748</v>
      </c>
      <c r="X10" s="16"/>
      <c r="Y10" s="16">
        <f t="shared" si="6"/>
        <v>16</v>
      </c>
      <c r="Z10" s="16">
        <f t="shared" si="7"/>
        <v>95</v>
      </c>
      <c r="AA10" s="16">
        <f t="shared" si="8"/>
        <v>48</v>
      </c>
      <c r="AB10" s="16"/>
      <c r="AC10" s="16">
        <f t="shared" si="9"/>
        <v>10016</v>
      </c>
      <c r="AD10" s="16">
        <f t="shared" si="10"/>
        <v>250091</v>
      </c>
      <c r="AE10" s="16">
        <f t="shared" si="11"/>
        <v>9739893</v>
      </c>
      <c r="AF10" s="16"/>
      <c r="AG10" s="16">
        <f>ROUND(AC10*Desire_severe*(1-SUM($BA$5:$BC9)/Population),0)</f>
        <v>10014</v>
      </c>
      <c r="AH10" s="16">
        <f>ROUND(AD10*Desire_mild*(1-SUM($BA$5:$BC9)/Population),0)</f>
        <v>125020</v>
      </c>
      <c r="AI10" s="16">
        <f>ROUND(AE10*Desire_asy*(1-SUM($BA$5:$BC9)/Population),0)</f>
        <v>194759</v>
      </c>
      <c r="AJ10" s="16"/>
      <c r="AK10" s="16">
        <f t="shared" si="35"/>
        <v>500</v>
      </c>
      <c r="AL10" s="16">
        <f t="shared" si="13"/>
        <v>375</v>
      </c>
      <c r="AM10" s="16">
        <f t="shared" si="27"/>
        <v>125</v>
      </c>
      <c r="AN10" s="16"/>
      <c r="AO10" s="16">
        <f t="shared" si="36"/>
        <v>375</v>
      </c>
      <c r="AP10" s="16">
        <f t="shared" si="37"/>
        <v>0</v>
      </c>
      <c r="AQ10" s="16">
        <f t="shared" si="28"/>
        <v>0</v>
      </c>
      <c r="AR10" s="16"/>
      <c r="AS10" s="16">
        <f t="shared" si="38"/>
        <v>9639</v>
      </c>
      <c r="AT10" s="16">
        <f t="shared" si="14"/>
        <v>125020</v>
      </c>
      <c r="AU10" s="16">
        <f t="shared" si="14"/>
        <v>194759</v>
      </c>
      <c r="AV10" s="16"/>
      <c r="AW10" s="16">
        <f t="shared" si="29"/>
        <v>4</v>
      </c>
      <c r="AX10" s="16">
        <f t="shared" si="15"/>
        <v>47</v>
      </c>
      <c r="AY10" s="16">
        <f t="shared" si="30"/>
        <v>74</v>
      </c>
      <c r="AZ10" s="16"/>
      <c r="BA10" s="16">
        <f t="shared" si="31"/>
        <v>379</v>
      </c>
      <c r="BB10" s="16">
        <f t="shared" si="16"/>
        <v>47</v>
      </c>
      <c r="BC10" s="16">
        <f t="shared" si="16"/>
        <v>74</v>
      </c>
      <c r="BD10" s="16"/>
      <c r="BE10" s="20">
        <f t="shared" si="32"/>
        <v>1.5974440894568689E-3</v>
      </c>
      <c r="BF10" s="20">
        <f t="shared" si="17"/>
        <v>3.7986173033015985E-4</v>
      </c>
      <c r="BG10" s="20">
        <f t="shared" si="17"/>
        <v>4.928185556042556E-6</v>
      </c>
      <c r="BH10" s="16"/>
      <c r="BI10" s="16">
        <f t="shared" si="18"/>
        <v>1</v>
      </c>
      <c r="BJ10" s="16">
        <f t="shared" si="19"/>
        <v>0</v>
      </c>
      <c r="BK10" s="16">
        <f t="shared" si="20"/>
        <v>0</v>
      </c>
      <c r="BL10" s="16"/>
      <c r="BM10" s="16">
        <f t="shared" si="33"/>
        <v>1</v>
      </c>
      <c r="BN10" s="22">
        <f t="shared" si="39"/>
        <v>1</v>
      </c>
      <c r="BO10" s="19">
        <f t="shared" si="40"/>
        <v>2E-3</v>
      </c>
    </row>
    <row r="11" spans="1:67" s="9" customFormat="1" ht="13" customHeight="1" x14ac:dyDescent="0.15">
      <c r="A11" s="15" t="s">
        <v>61</v>
      </c>
      <c r="B11" s="8">
        <v>15</v>
      </c>
      <c r="D11" s="38">
        <f t="shared" si="34"/>
        <v>6</v>
      </c>
      <c r="E11" s="41">
        <f t="shared" si="21"/>
        <v>43861</v>
      </c>
      <c r="F11" s="16"/>
      <c r="G11" s="17">
        <f t="shared" si="22"/>
        <v>2.6993006993006992</v>
      </c>
      <c r="H11" s="40">
        <f t="shared" si="0"/>
        <v>3.4887093382797691</v>
      </c>
      <c r="I11" s="16">
        <f t="shared" si="23"/>
        <v>429</v>
      </c>
      <c r="J11" s="16">
        <f>SUM(I$5:I11)</f>
        <v>681</v>
      </c>
      <c r="K11" s="16"/>
      <c r="L11" s="18" t="str">
        <f t="shared" ca="1" si="24"/>
        <v/>
      </c>
      <c r="M11" s="40">
        <f t="shared" ca="1" si="1"/>
        <v>15.531418597526949</v>
      </c>
      <c r="N11" s="16">
        <f t="shared" ca="1" si="2"/>
        <v>1</v>
      </c>
      <c r="O11" s="16">
        <f ca="1">SUM(N$5:N11)</f>
        <v>4</v>
      </c>
      <c r="P11" s="16"/>
      <c r="Q11" s="19">
        <f t="shared" ca="1" si="25"/>
        <v>5.8737151248164461E-3</v>
      </c>
      <c r="R11" s="16"/>
      <c r="S11" s="16">
        <f t="shared" ca="1" si="3"/>
        <v>500</v>
      </c>
      <c r="T11" s="19">
        <f t="shared" ca="1" si="26"/>
        <v>2E-3</v>
      </c>
      <c r="U11" s="35"/>
      <c r="V11" s="30">
        <f t="shared" si="4"/>
        <v>2.7</v>
      </c>
      <c r="W11" s="16">
        <f t="shared" si="5"/>
        <v>9999319</v>
      </c>
      <c r="X11" s="16"/>
      <c r="Y11" s="16">
        <f t="shared" si="6"/>
        <v>43</v>
      </c>
      <c r="Z11" s="16">
        <f t="shared" si="7"/>
        <v>257</v>
      </c>
      <c r="AA11" s="16">
        <f t="shared" si="8"/>
        <v>129</v>
      </c>
      <c r="AB11" s="16"/>
      <c r="AC11" s="16">
        <f t="shared" si="9"/>
        <v>10043</v>
      </c>
      <c r="AD11" s="16">
        <f t="shared" si="10"/>
        <v>250246</v>
      </c>
      <c r="AE11" s="16">
        <f t="shared" si="11"/>
        <v>9739711</v>
      </c>
      <c r="AF11" s="16"/>
      <c r="AG11" s="16">
        <f>ROUND(AC11*Desire_severe*(1-SUM($BA$5:$BC10)/Population),0)</f>
        <v>10040</v>
      </c>
      <c r="AH11" s="16">
        <f>ROUND(AD11*Desire_mild*(1-SUM($BA$5:$BC10)/Population),0)</f>
        <v>125092</v>
      </c>
      <c r="AI11" s="16">
        <f>ROUND(AE11*Desire_asy*(1-SUM($BA$5:$BC10)/Population),0)</f>
        <v>194746</v>
      </c>
      <c r="AJ11" s="16"/>
      <c r="AK11" s="16">
        <f t="shared" si="35"/>
        <v>1500</v>
      </c>
      <c r="AL11" s="16">
        <f t="shared" si="13"/>
        <v>1125</v>
      </c>
      <c r="AM11" s="16">
        <f t="shared" si="27"/>
        <v>375</v>
      </c>
      <c r="AN11" s="16"/>
      <c r="AO11" s="16">
        <f t="shared" si="36"/>
        <v>1125</v>
      </c>
      <c r="AP11" s="16">
        <f t="shared" si="37"/>
        <v>0</v>
      </c>
      <c r="AQ11" s="16">
        <f t="shared" si="28"/>
        <v>0</v>
      </c>
      <c r="AR11" s="16"/>
      <c r="AS11" s="16">
        <f t="shared" si="38"/>
        <v>8915</v>
      </c>
      <c r="AT11" s="16">
        <f t="shared" si="14"/>
        <v>125092</v>
      </c>
      <c r="AU11" s="16">
        <f t="shared" si="14"/>
        <v>194746</v>
      </c>
      <c r="AV11" s="16"/>
      <c r="AW11" s="16">
        <f t="shared" si="29"/>
        <v>10</v>
      </c>
      <c r="AX11" s="16">
        <f t="shared" si="15"/>
        <v>143</v>
      </c>
      <c r="AY11" s="16">
        <f t="shared" si="30"/>
        <v>222</v>
      </c>
      <c r="AZ11" s="16"/>
      <c r="BA11" s="16">
        <f t="shared" si="31"/>
        <v>1135</v>
      </c>
      <c r="BB11" s="16">
        <f t="shared" si="16"/>
        <v>143</v>
      </c>
      <c r="BC11" s="16">
        <f t="shared" si="16"/>
        <v>222</v>
      </c>
      <c r="BD11" s="16"/>
      <c r="BE11" s="20">
        <f t="shared" si="32"/>
        <v>4.2815891665836901E-3</v>
      </c>
      <c r="BF11" s="20">
        <f t="shared" si="17"/>
        <v>1.0269894423886896E-3</v>
      </c>
      <c r="BG11" s="20">
        <f t="shared" si="17"/>
        <v>1.3244746173680102E-5</v>
      </c>
      <c r="BH11" s="16"/>
      <c r="BI11" s="16">
        <f t="shared" si="18"/>
        <v>6</v>
      </c>
      <c r="BJ11" s="16">
        <f t="shared" si="19"/>
        <v>0</v>
      </c>
      <c r="BK11" s="16">
        <f t="shared" si="20"/>
        <v>0</v>
      </c>
      <c r="BL11" s="16"/>
      <c r="BM11" s="16">
        <f t="shared" si="33"/>
        <v>6</v>
      </c>
      <c r="BN11" s="22">
        <f t="shared" si="39"/>
        <v>6</v>
      </c>
      <c r="BO11" s="19">
        <f t="shared" si="40"/>
        <v>4.0000000000000001E-3</v>
      </c>
    </row>
    <row r="12" spans="1:67" s="9" customFormat="1" ht="13" customHeight="1" x14ac:dyDescent="0.15">
      <c r="A12" s="15"/>
      <c r="B12" s="8"/>
      <c r="D12" s="38">
        <f t="shared" si="34"/>
        <v>7</v>
      </c>
      <c r="E12" s="41">
        <f t="shared" si="21"/>
        <v>43866</v>
      </c>
      <c r="F12" s="16"/>
      <c r="G12" s="17">
        <f t="shared" si="22"/>
        <v>2.6986183074265977</v>
      </c>
      <c r="H12" s="40">
        <f t="shared" si="0"/>
        <v>3.4902024955056548</v>
      </c>
      <c r="I12" s="16">
        <f t="shared" si="23"/>
        <v>1158</v>
      </c>
      <c r="J12" s="16">
        <f>SUM(I$5:I12)</f>
        <v>1839</v>
      </c>
      <c r="K12" s="16"/>
      <c r="L12" s="18" t="str">
        <f t="shared" ca="1" si="24"/>
        <v/>
      </c>
      <c r="M12" s="40">
        <f t="shared" ca="1" si="1"/>
        <v>4.3955907789338706</v>
      </c>
      <c r="N12" s="16">
        <f t="shared" ca="1" si="2"/>
        <v>1</v>
      </c>
      <c r="O12" s="16">
        <f ca="1">SUM(N$5:N12)</f>
        <v>5</v>
      </c>
      <c r="P12" s="16"/>
      <c r="Q12" s="19">
        <f t="shared" ca="1" si="25"/>
        <v>2.7188689505165853E-3</v>
      </c>
      <c r="R12" s="16"/>
      <c r="S12" s="16">
        <f t="shared" ca="1" si="3"/>
        <v>500</v>
      </c>
      <c r="T12" s="19">
        <f t="shared" ca="1" si="26"/>
        <v>2E-3</v>
      </c>
      <c r="U12" s="35"/>
      <c r="V12" s="30">
        <f t="shared" si="4"/>
        <v>2.7</v>
      </c>
      <c r="W12" s="16">
        <f t="shared" si="5"/>
        <v>9998161</v>
      </c>
      <c r="X12" s="16"/>
      <c r="Y12" s="16">
        <f t="shared" si="6"/>
        <v>116</v>
      </c>
      <c r="Z12" s="16">
        <f t="shared" si="7"/>
        <v>695</v>
      </c>
      <c r="AA12" s="16">
        <f t="shared" si="8"/>
        <v>347</v>
      </c>
      <c r="AB12" s="16"/>
      <c r="AC12" s="16">
        <f t="shared" si="9"/>
        <v>10115</v>
      </c>
      <c r="AD12" s="16">
        <f t="shared" si="10"/>
        <v>250666</v>
      </c>
      <c r="AE12" s="16">
        <f t="shared" si="11"/>
        <v>9739219</v>
      </c>
      <c r="AF12" s="16"/>
      <c r="AG12" s="16">
        <f>ROUND(AC12*Desire_severe*(1-SUM($BA$5:$BC11)/Population),0)</f>
        <v>10111</v>
      </c>
      <c r="AH12" s="16">
        <f>ROUND(AD12*Desire_mild*(1-SUM($BA$5:$BC11)/Population),0)</f>
        <v>125283</v>
      </c>
      <c r="AI12" s="16">
        <f>ROUND(AE12*Desire_asy*(1-SUM($BA$5:$BC11)/Population),0)</f>
        <v>194706</v>
      </c>
      <c r="AJ12" s="16"/>
      <c r="AK12" s="16">
        <f t="shared" si="35"/>
        <v>4500</v>
      </c>
      <c r="AL12" s="16">
        <f t="shared" si="13"/>
        <v>3375</v>
      </c>
      <c r="AM12" s="16">
        <f t="shared" si="27"/>
        <v>1125</v>
      </c>
      <c r="AN12" s="16"/>
      <c r="AO12" s="16">
        <f t="shared" si="36"/>
        <v>3375</v>
      </c>
      <c r="AP12" s="16">
        <f t="shared" si="37"/>
        <v>0</v>
      </c>
      <c r="AQ12" s="16">
        <f t="shared" si="28"/>
        <v>0</v>
      </c>
      <c r="AR12" s="16"/>
      <c r="AS12" s="16">
        <f t="shared" si="38"/>
        <v>6736</v>
      </c>
      <c r="AT12" s="16">
        <f t="shared" si="14"/>
        <v>125283</v>
      </c>
      <c r="AU12" s="16">
        <f t="shared" si="14"/>
        <v>194706</v>
      </c>
      <c r="AV12" s="16"/>
      <c r="AW12" s="16">
        <f t="shared" si="29"/>
        <v>23</v>
      </c>
      <c r="AX12" s="16">
        <f t="shared" si="15"/>
        <v>431</v>
      </c>
      <c r="AY12" s="16">
        <f t="shared" si="30"/>
        <v>671</v>
      </c>
      <c r="AZ12" s="16"/>
      <c r="BA12" s="16">
        <f t="shared" si="31"/>
        <v>3398</v>
      </c>
      <c r="BB12" s="16">
        <f t="shared" si="16"/>
        <v>431</v>
      </c>
      <c r="BC12" s="16">
        <f t="shared" si="16"/>
        <v>671</v>
      </c>
      <c r="BD12" s="16"/>
      <c r="BE12" s="20">
        <f t="shared" si="32"/>
        <v>1.1468116658428076E-2</v>
      </c>
      <c r="BF12" s="20">
        <f t="shared" si="17"/>
        <v>2.7726137569514813E-3</v>
      </c>
      <c r="BG12" s="20">
        <f t="shared" si="17"/>
        <v>3.5629140283219835E-5</v>
      </c>
      <c r="BH12" s="16"/>
      <c r="BI12" s="16">
        <f t="shared" si="18"/>
        <v>38</v>
      </c>
      <c r="BJ12" s="16">
        <f t="shared" si="19"/>
        <v>2</v>
      </c>
      <c r="BK12" s="16">
        <f t="shared" si="20"/>
        <v>1</v>
      </c>
      <c r="BL12" s="16"/>
      <c r="BM12" s="16">
        <f t="shared" si="33"/>
        <v>41</v>
      </c>
      <c r="BN12" s="22">
        <f t="shared" si="39"/>
        <v>6.833333333333333</v>
      </c>
      <c r="BO12" s="19">
        <f t="shared" si="40"/>
        <v>9.1111111111111115E-3</v>
      </c>
    </row>
    <row r="13" spans="1:67" s="9" customFormat="1" ht="13" customHeight="1" x14ac:dyDescent="0.15">
      <c r="A13" s="15" t="s">
        <v>42</v>
      </c>
      <c r="B13" s="23">
        <v>0.3</v>
      </c>
      <c r="D13" s="38">
        <f t="shared" si="34"/>
        <v>8</v>
      </c>
      <c r="E13" s="41">
        <f t="shared" si="21"/>
        <v>43871</v>
      </c>
      <c r="F13" s="16"/>
      <c r="G13" s="17">
        <f t="shared" si="22"/>
        <v>2.6969599999999998</v>
      </c>
      <c r="H13" s="40">
        <f t="shared" si="0"/>
        <v>3.4921165862883559</v>
      </c>
      <c r="I13" s="16">
        <f t="shared" si="23"/>
        <v>3125</v>
      </c>
      <c r="J13" s="16">
        <f>SUM(I$5:I13)</f>
        <v>4964</v>
      </c>
      <c r="K13" s="16"/>
      <c r="L13" s="18" t="str">
        <f t="shared" ca="1" si="24"/>
        <v/>
      </c>
      <c r="M13" s="40">
        <f t="shared" ca="1" si="1"/>
        <v>2.2311387455971721</v>
      </c>
      <c r="N13" s="16">
        <f t="shared" ca="1" si="2"/>
        <v>6</v>
      </c>
      <c r="O13" s="16">
        <f ca="1">SUM(N$5:N13)</f>
        <v>11</v>
      </c>
      <c r="P13" s="16"/>
      <c r="Q13" s="19">
        <f t="shared" ca="1" si="25"/>
        <v>2.2159548751007254E-3</v>
      </c>
      <c r="R13" s="16"/>
      <c r="S13" s="16">
        <f t="shared" ca="1" si="3"/>
        <v>1500</v>
      </c>
      <c r="T13" s="19">
        <f t="shared" ca="1" si="26"/>
        <v>4.0000000000000001E-3</v>
      </c>
      <c r="U13" s="35"/>
      <c r="V13" s="30">
        <f t="shared" si="4"/>
        <v>2.7</v>
      </c>
      <c r="W13" s="16">
        <f t="shared" si="5"/>
        <v>9995036</v>
      </c>
      <c r="X13" s="16"/>
      <c r="Y13" s="16">
        <f t="shared" si="6"/>
        <v>313</v>
      </c>
      <c r="Z13" s="16">
        <f t="shared" si="7"/>
        <v>1875</v>
      </c>
      <c r="AA13" s="16">
        <f t="shared" si="8"/>
        <v>937</v>
      </c>
      <c r="AB13" s="16"/>
      <c r="AC13" s="16">
        <f t="shared" si="9"/>
        <v>10310</v>
      </c>
      <c r="AD13" s="16">
        <f t="shared" si="10"/>
        <v>251797</v>
      </c>
      <c r="AE13" s="16">
        <f t="shared" si="11"/>
        <v>9737893</v>
      </c>
      <c r="AF13" s="16"/>
      <c r="AG13" s="16">
        <f>ROUND(AC13*Desire_severe*(1-SUM($BA$5:$BC12)/Population),0)</f>
        <v>10301</v>
      </c>
      <c r="AH13" s="16">
        <f>ROUND(AD13*Desire_mild*(1-SUM($BA$5:$BC12)/Population),0)</f>
        <v>125791</v>
      </c>
      <c r="AI13" s="16">
        <f>ROUND(AE13*Desire_asy*(1-SUM($BA$5:$BC12)/Population),0)</f>
        <v>194592</v>
      </c>
      <c r="AJ13" s="16"/>
      <c r="AK13" s="16">
        <f t="shared" si="35"/>
        <v>13500</v>
      </c>
      <c r="AL13" s="16">
        <f t="shared" si="13"/>
        <v>10125</v>
      </c>
      <c r="AM13" s="16">
        <f t="shared" si="27"/>
        <v>3375</v>
      </c>
      <c r="AN13" s="16"/>
      <c r="AO13" s="16">
        <f t="shared" si="36"/>
        <v>10125</v>
      </c>
      <c r="AP13" s="16">
        <f t="shared" si="37"/>
        <v>0</v>
      </c>
      <c r="AQ13" s="16">
        <f t="shared" si="28"/>
        <v>0</v>
      </c>
      <c r="AR13" s="16"/>
      <c r="AS13" s="16">
        <f t="shared" si="38"/>
        <v>176</v>
      </c>
      <c r="AT13" s="16">
        <f t="shared" si="14"/>
        <v>125791</v>
      </c>
      <c r="AU13" s="16">
        <f t="shared" si="14"/>
        <v>194592</v>
      </c>
      <c r="AV13" s="16"/>
      <c r="AW13" s="16">
        <f t="shared" si="29"/>
        <v>2</v>
      </c>
      <c r="AX13" s="16">
        <f t="shared" si="15"/>
        <v>1324</v>
      </c>
      <c r="AY13" s="16">
        <f t="shared" si="30"/>
        <v>2049</v>
      </c>
      <c r="AZ13" s="16"/>
      <c r="BA13" s="16">
        <f t="shared" si="31"/>
        <v>10127</v>
      </c>
      <c r="BB13" s="16">
        <f t="shared" si="16"/>
        <v>1324</v>
      </c>
      <c r="BC13" s="16">
        <f t="shared" si="16"/>
        <v>2049</v>
      </c>
      <c r="BD13" s="16"/>
      <c r="BE13" s="20">
        <f t="shared" si="32"/>
        <v>3.0358874878758487E-2</v>
      </c>
      <c r="BF13" s="20">
        <f t="shared" si="17"/>
        <v>7.4464747395719564E-3</v>
      </c>
      <c r="BG13" s="20">
        <f t="shared" si="17"/>
        <v>9.6222047212882707E-5</v>
      </c>
      <c r="BH13" s="16"/>
      <c r="BI13" s="16">
        <f t="shared" si="18"/>
        <v>266</v>
      </c>
      <c r="BJ13" s="16">
        <f t="shared" si="19"/>
        <v>11</v>
      </c>
      <c r="BK13" s="16">
        <f t="shared" si="20"/>
        <v>4</v>
      </c>
      <c r="BL13" s="16"/>
      <c r="BM13" s="16">
        <f t="shared" si="33"/>
        <v>281</v>
      </c>
      <c r="BN13" s="22">
        <f t="shared" si="39"/>
        <v>6.8536585365853657</v>
      </c>
      <c r="BO13" s="19">
        <f t="shared" si="40"/>
        <v>2.0814814814814814E-2</v>
      </c>
    </row>
    <row r="14" spans="1:67" s="9" customFormat="1" ht="13" customHeight="1" x14ac:dyDescent="0.15">
      <c r="A14" s="15" t="s">
        <v>2</v>
      </c>
      <c r="B14" s="23">
        <v>0.6</v>
      </c>
      <c r="D14" s="38">
        <f t="shared" si="34"/>
        <v>9</v>
      </c>
      <c r="E14" s="41">
        <f t="shared" si="21"/>
        <v>43876</v>
      </c>
      <c r="F14" s="16"/>
      <c r="G14" s="17">
        <f t="shared" si="22"/>
        <v>2.6915045087802563</v>
      </c>
      <c r="H14" s="40">
        <f t="shared" si="0"/>
        <v>3.4973155763405481</v>
      </c>
      <c r="I14" s="16">
        <f t="shared" si="23"/>
        <v>8428</v>
      </c>
      <c r="J14" s="16">
        <f>SUM(I$5:I14)</f>
        <v>13392</v>
      </c>
      <c r="K14" s="16"/>
      <c r="L14" s="18">
        <f t="shared" ca="1" si="24"/>
        <v>6.8536585365853657</v>
      </c>
      <c r="M14" s="40">
        <f t="shared" ca="1" si="1"/>
        <v>1.8664107899584568</v>
      </c>
      <c r="N14" s="16">
        <f t="shared" ca="1" si="2"/>
        <v>41</v>
      </c>
      <c r="O14" s="16">
        <f ca="1">SUM(N$5:N14)</f>
        <v>52</v>
      </c>
      <c r="P14" s="16"/>
      <c r="Q14" s="19">
        <f t="shared" ca="1" si="25"/>
        <v>3.8829151732377538E-3</v>
      </c>
      <c r="R14" s="16"/>
      <c r="S14" s="16">
        <f t="shared" ca="1" si="3"/>
        <v>4500</v>
      </c>
      <c r="T14" s="19">
        <f t="shared" ca="1" si="26"/>
        <v>9.1111111111111115E-3</v>
      </c>
      <c r="U14" s="35"/>
      <c r="V14" s="30">
        <f t="shared" si="4"/>
        <v>2.7</v>
      </c>
      <c r="W14" s="16">
        <f t="shared" si="5"/>
        <v>9986608</v>
      </c>
      <c r="X14" s="16"/>
      <c r="Y14" s="16">
        <f t="shared" si="6"/>
        <v>843</v>
      </c>
      <c r="Z14" s="16">
        <f t="shared" si="7"/>
        <v>5057</v>
      </c>
      <c r="AA14" s="16">
        <f t="shared" si="8"/>
        <v>2528</v>
      </c>
      <c r="AB14" s="16"/>
      <c r="AC14" s="16">
        <f t="shared" si="9"/>
        <v>10835</v>
      </c>
      <c r="AD14" s="16">
        <f t="shared" si="10"/>
        <v>254846</v>
      </c>
      <c r="AE14" s="16">
        <f t="shared" si="11"/>
        <v>9734319</v>
      </c>
      <c r="AF14" s="16"/>
      <c r="AG14" s="16">
        <f>ROUND(AC14*Desire_severe*(1-SUM($BA$5:$BC13)/Population),0)</f>
        <v>10811</v>
      </c>
      <c r="AH14" s="16">
        <f>ROUND(AD14*Desire_mild*(1-SUM($BA$5:$BC13)/Population),0)</f>
        <v>127143</v>
      </c>
      <c r="AI14" s="16">
        <f>ROUND(AE14*Desire_asy*(1-SUM($BA$5:$BC13)/Population),0)</f>
        <v>194258</v>
      </c>
      <c r="AJ14" s="16"/>
      <c r="AK14" s="16">
        <f t="shared" si="35"/>
        <v>25000</v>
      </c>
      <c r="AL14" s="16">
        <f t="shared" si="13"/>
        <v>18750</v>
      </c>
      <c r="AM14" s="16">
        <f t="shared" si="27"/>
        <v>6250</v>
      </c>
      <c r="AN14" s="16"/>
      <c r="AO14" s="16">
        <f t="shared" si="36"/>
        <v>10811</v>
      </c>
      <c r="AP14" s="16">
        <f t="shared" si="37"/>
        <v>7939</v>
      </c>
      <c r="AQ14" s="16">
        <f t="shared" si="28"/>
        <v>0</v>
      </c>
      <c r="AR14" s="16"/>
      <c r="AS14" s="16">
        <f t="shared" si="38"/>
        <v>0</v>
      </c>
      <c r="AT14" s="16">
        <f t="shared" si="14"/>
        <v>119204</v>
      </c>
      <c r="AU14" s="16">
        <f t="shared" si="14"/>
        <v>194258</v>
      </c>
      <c r="AV14" s="16"/>
      <c r="AW14" s="16">
        <f t="shared" si="29"/>
        <v>0</v>
      </c>
      <c r="AX14" s="16">
        <f t="shared" si="15"/>
        <v>2377</v>
      </c>
      <c r="AY14" s="16">
        <f t="shared" si="30"/>
        <v>3873</v>
      </c>
      <c r="AZ14" s="16"/>
      <c r="BA14" s="16">
        <f t="shared" si="31"/>
        <v>10811</v>
      </c>
      <c r="BB14" s="16">
        <f t="shared" si="16"/>
        <v>10316</v>
      </c>
      <c r="BC14" s="16">
        <f t="shared" si="16"/>
        <v>3873</v>
      </c>
      <c r="BD14" s="16"/>
      <c r="BE14" s="20">
        <f t="shared" si="32"/>
        <v>7.7803414859252421E-2</v>
      </c>
      <c r="BF14" s="20">
        <f t="shared" si="17"/>
        <v>1.9843356379931409E-2</v>
      </c>
      <c r="BG14" s="20">
        <f t="shared" si="17"/>
        <v>2.596997283528514E-4</v>
      </c>
      <c r="BH14" s="16"/>
      <c r="BI14" s="16">
        <f t="shared" si="18"/>
        <v>693</v>
      </c>
      <c r="BJ14" s="16">
        <f t="shared" si="19"/>
        <v>184</v>
      </c>
      <c r="BK14" s="16">
        <f t="shared" si="20"/>
        <v>9</v>
      </c>
      <c r="BL14" s="16"/>
      <c r="BM14" s="16">
        <f t="shared" si="33"/>
        <v>886</v>
      </c>
      <c r="BN14" s="22">
        <f t="shared" si="39"/>
        <v>3.1530249110320283</v>
      </c>
      <c r="BO14" s="19">
        <f t="shared" si="40"/>
        <v>3.5439999999999999E-2</v>
      </c>
    </row>
    <row r="15" spans="1:67" s="9" customFormat="1" ht="13" customHeight="1" x14ac:dyDescent="0.15">
      <c r="A15" s="15"/>
      <c r="B15" s="8"/>
      <c r="D15" s="38">
        <f t="shared" si="34"/>
        <v>10</v>
      </c>
      <c r="E15" s="41">
        <f t="shared" si="21"/>
        <v>43881</v>
      </c>
      <c r="F15" s="16"/>
      <c r="G15" s="17">
        <f t="shared" si="22"/>
        <v>2.6772174219714335</v>
      </c>
      <c r="H15" s="40">
        <f t="shared" si="0"/>
        <v>3.5110952097812742</v>
      </c>
      <c r="I15" s="16">
        <f t="shared" si="23"/>
        <v>22684</v>
      </c>
      <c r="J15" s="16">
        <f>SUM(I$5:I15)</f>
        <v>36076</v>
      </c>
      <c r="K15" s="16"/>
      <c r="L15" s="18">
        <f t="shared" ca="1" si="24"/>
        <v>3.1530249110320283</v>
      </c>
      <c r="M15" s="40">
        <f t="shared" ca="1" si="1"/>
        <v>2.670791731490251</v>
      </c>
      <c r="N15" s="16">
        <f t="shared" ca="1" si="2"/>
        <v>281</v>
      </c>
      <c r="O15" s="16">
        <f ca="1">SUM(N$5:N15)</f>
        <v>333</v>
      </c>
      <c r="P15" s="16"/>
      <c r="Q15" s="19">
        <f t="shared" ca="1" si="25"/>
        <v>9.2305133606830018E-3</v>
      </c>
      <c r="R15" s="16"/>
      <c r="S15" s="16">
        <f t="shared" ca="1" si="3"/>
        <v>13500</v>
      </c>
      <c r="T15" s="19">
        <f t="shared" ca="1" si="26"/>
        <v>2.0814814814814814E-2</v>
      </c>
      <c r="U15" s="35"/>
      <c r="V15" s="30">
        <f t="shared" si="4"/>
        <v>2.7</v>
      </c>
      <c r="W15" s="16">
        <f t="shared" si="5"/>
        <v>9963924</v>
      </c>
      <c r="X15" s="16"/>
      <c r="Y15" s="16">
        <f t="shared" si="6"/>
        <v>2268</v>
      </c>
      <c r="Z15" s="16">
        <f t="shared" si="7"/>
        <v>13610</v>
      </c>
      <c r="AA15" s="16">
        <f t="shared" si="8"/>
        <v>6806</v>
      </c>
      <c r="AB15" s="16"/>
      <c r="AC15" s="16">
        <f t="shared" si="9"/>
        <v>12245</v>
      </c>
      <c r="AD15" s="16">
        <f t="shared" si="10"/>
        <v>263043</v>
      </c>
      <c r="AE15" s="16">
        <f t="shared" si="11"/>
        <v>9724712</v>
      </c>
      <c r="AF15" s="16"/>
      <c r="AG15" s="16">
        <f>ROUND(AC15*Desire_severe*(1-SUM($BA$5:$BC14)/Population),0)</f>
        <v>12187</v>
      </c>
      <c r="AH15" s="16">
        <f>ROUND(AD15*Desire_mild*(1-SUM($BA$5:$BC14)/Population),0)</f>
        <v>130903</v>
      </c>
      <c r="AI15" s="16">
        <f>ROUND(AE15*Desire_asy*(1-SUM($BA$5:$BC14)/Population),0)</f>
        <v>193580</v>
      </c>
      <c r="AJ15" s="16"/>
      <c r="AK15" s="16">
        <f t="shared" si="35"/>
        <v>25000</v>
      </c>
      <c r="AL15" s="16">
        <f t="shared" si="13"/>
        <v>18750</v>
      </c>
      <c r="AM15" s="16">
        <f t="shared" si="27"/>
        <v>6250</v>
      </c>
      <c r="AN15" s="16"/>
      <c r="AO15" s="16">
        <f t="shared" si="36"/>
        <v>12187</v>
      </c>
      <c r="AP15" s="16">
        <f t="shared" si="37"/>
        <v>6563</v>
      </c>
      <c r="AQ15" s="16">
        <f t="shared" si="28"/>
        <v>0</v>
      </c>
      <c r="AR15" s="16"/>
      <c r="AS15" s="16">
        <f t="shared" si="38"/>
        <v>0</v>
      </c>
      <c r="AT15" s="16">
        <f t="shared" si="14"/>
        <v>124340</v>
      </c>
      <c r="AU15" s="16">
        <f t="shared" si="14"/>
        <v>193580</v>
      </c>
      <c r="AV15" s="16"/>
      <c r="AW15" s="16">
        <f t="shared" si="29"/>
        <v>0</v>
      </c>
      <c r="AX15" s="16">
        <f t="shared" si="15"/>
        <v>2444</v>
      </c>
      <c r="AY15" s="16">
        <f t="shared" si="30"/>
        <v>3806</v>
      </c>
      <c r="AZ15" s="16"/>
      <c r="BA15" s="16">
        <f t="shared" si="31"/>
        <v>12187</v>
      </c>
      <c r="BB15" s="16">
        <f t="shared" si="16"/>
        <v>9007</v>
      </c>
      <c r="BC15" s="16">
        <f t="shared" si="16"/>
        <v>3806</v>
      </c>
      <c r="BD15" s="16"/>
      <c r="BE15" s="20">
        <f t="shared" si="32"/>
        <v>0.18521845651286239</v>
      </c>
      <c r="BF15" s="20">
        <f t="shared" si="17"/>
        <v>5.1740589941568486E-2</v>
      </c>
      <c r="BG15" s="20">
        <f t="shared" si="17"/>
        <v>6.9986648447789503E-4</v>
      </c>
      <c r="BH15" s="16"/>
      <c r="BI15" s="16">
        <f t="shared" si="18"/>
        <v>1826</v>
      </c>
      <c r="BJ15" s="16">
        <f t="shared" si="19"/>
        <v>390</v>
      </c>
      <c r="BK15" s="16">
        <f t="shared" si="20"/>
        <v>10</v>
      </c>
      <c r="BL15" s="16"/>
      <c r="BM15" s="16">
        <f t="shared" si="33"/>
        <v>2226</v>
      </c>
      <c r="BN15" s="22">
        <f t="shared" si="39"/>
        <v>2.5124153498871333</v>
      </c>
      <c r="BO15" s="19">
        <f t="shared" si="40"/>
        <v>8.9039999999999994E-2</v>
      </c>
    </row>
    <row r="16" spans="1:67" s="9" customFormat="1" ht="13" customHeight="1" x14ac:dyDescent="0.15">
      <c r="A16" s="15" t="s">
        <v>55</v>
      </c>
      <c r="B16" s="24">
        <v>43831</v>
      </c>
      <c r="D16" s="38">
        <f t="shared" si="34"/>
        <v>11</v>
      </c>
      <c r="E16" s="41">
        <f t="shared" si="21"/>
        <v>43886</v>
      </c>
      <c r="F16" s="16"/>
      <c r="G16" s="17">
        <f t="shared" si="22"/>
        <v>1.3739008727152973</v>
      </c>
      <c r="H16" s="40">
        <f t="shared" si="0"/>
        <v>5.5755354353773878</v>
      </c>
      <c r="I16" s="16">
        <f t="shared" si="23"/>
        <v>60730</v>
      </c>
      <c r="J16" s="16">
        <f>SUM(I$5:I16)</f>
        <v>96806</v>
      </c>
      <c r="K16" s="16"/>
      <c r="L16" s="18">
        <f t="shared" ca="1" si="24"/>
        <v>2.5124153498871333</v>
      </c>
      <c r="M16" s="40">
        <f t="shared" ca="1" si="1"/>
        <v>3.3359890987504128</v>
      </c>
      <c r="N16" s="16">
        <f t="shared" ca="1" si="2"/>
        <v>886</v>
      </c>
      <c r="O16" s="16">
        <f ca="1">SUM(N$5:N16)</f>
        <v>1219</v>
      </c>
      <c r="P16" s="16"/>
      <c r="Q16" s="19">
        <f t="shared" ca="1" si="25"/>
        <v>1.2592194698675702E-2</v>
      </c>
      <c r="R16" s="16"/>
      <c r="S16" s="16">
        <f t="shared" ca="1" si="3"/>
        <v>25000</v>
      </c>
      <c r="T16" s="19">
        <f t="shared" ca="1" si="26"/>
        <v>3.5439999999999999E-2</v>
      </c>
      <c r="U16" s="35"/>
      <c r="V16" s="30">
        <f t="shared" si="4"/>
        <v>1.4</v>
      </c>
      <c r="W16" s="16">
        <f t="shared" si="5"/>
        <v>9903194</v>
      </c>
      <c r="X16" s="16"/>
      <c r="Y16" s="16">
        <f t="shared" si="6"/>
        <v>6073</v>
      </c>
      <c r="Z16" s="16">
        <f t="shared" si="7"/>
        <v>36438</v>
      </c>
      <c r="AA16" s="16">
        <f t="shared" si="8"/>
        <v>18219</v>
      </c>
      <c r="AB16" s="16"/>
      <c r="AC16" s="16">
        <f t="shared" si="9"/>
        <v>16012</v>
      </c>
      <c r="AD16" s="16">
        <f t="shared" si="10"/>
        <v>284920</v>
      </c>
      <c r="AE16" s="16">
        <f t="shared" si="11"/>
        <v>9699068</v>
      </c>
      <c r="AF16" s="16"/>
      <c r="AG16" s="16">
        <f>ROUND(AC16*Desire_severe*(1-SUM($BA$5:$BC15)/Population),0)</f>
        <v>15897</v>
      </c>
      <c r="AH16" s="16">
        <f>ROUND(AD16*Desire_mild*(1-SUM($BA$5:$BC15)/Population),0)</f>
        <v>141434</v>
      </c>
      <c r="AI16" s="16">
        <f>ROUND(AE16*Desire_asy*(1-SUM($BA$5:$BC15)/Population),0)</f>
        <v>192585</v>
      </c>
      <c r="AJ16" s="16"/>
      <c r="AK16" s="16">
        <f t="shared" si="35"/>
        <v>25000</v>
      </c>
      <c r="AL16" s="16">
        <f t="shared" si="13"/>
        <v>18750</v>
      </c>
      <c r="AM16" s="16">
        <f t="shared" si="27"/>
        <v>6250</v>
      </c>
      <c r="AN16" s="16"/>
      <c r="AO16" s="16">
        <f t="shared" si="36"/>
        <v>15897</v>
      </c>
      <c r="AP16" s="16">
        <f t="shared" si="37"/>
        <v>2853</v>
      </c>
      <c r="AQ16" s="16">
        <f t="shared" si="28"/>
        <v>0</v>
      </c>
      <c r="AR16" s="16"/>
      <c r="AS16" s="16">
        <f t="shared" si="38"/>
        <v>0</v>
      </c>
      <c r="AT16" s="16">
        <f t="shared" si="14"/>
        <v>138581</v>
      </c>
      <c r="AU16" s="16">
        <f t="shared" si="14"/>
        <v>192585</v>
      </c>
      <c r="AV16" s="16"/>
      <c r="AW16" s="16">
        <f t="shared" si="29"/>
        <v>0</v>
      </c>
      <c r="AX16" s="16">
        <f t="shared" si="15"/>
        <v>2615</v>
      </c>
      <c r="AY16" s="16">
        <f t="shared" si="30"/>
        <v>3635</v>
      </c>
      <c r="AZ16" s="16"/>
      <c r="BA16" s="16">
        <f t="shared" si="31"/>
        <v>15897</v>
      </c>
      <c r="BB16" s="16">
        <f t="shared" si="16"/>
        <v>5468</v>
      </c>
      <c r="BC16" s="16">
        <f t="shared" si="16"/>
        <v>3635</v>
      </c>
      <c r="BD16" s="16"/>
      <c r="BE16" s="20">
        <f t="shared" si="32"/>
        <v>0.37927804146889832</v>
      </c>
      <c r="BF16" s="20">
        <f t="shared" si="17"/>
        <v>0.12788853011371612</v>
      </c>
      <c r="BG16" s="20">
        <f t="shared" si="17"/>
        <v>1.8784279066813431E-3</v>
      </c>
      <c r="BH16" s="16"/>
      <c r="BI16" s="16">
        <f t="shared" si="18"/>
        <v>4844</v>
      </c>
      <c r="BJ16" s="16">
        <f t="shared" si="19"/>
        <v>569</v>
      </c>
      <c r="BK16" s="16">
        <f t="shared" si="20"/>
        <v>12</v>
      </c>
      <c r="BL16" s="16"/>
      <c r="BM16" s="16">
        <f t="shared" si="33"/>
        <v>5425</v>
      </c>
      <c r="BN16" s="22">
        <f t="shared" si="39"/>
        <v>2.4371069182389937</v>
      </c>
      <c r="BO16" s="19">
        <f t="shared" si="40"/>
        <v>0.217</v>
      </c>
    </row>
    <row r="17" spans="1:67" s="9" customFormat="1" ht="13" customHeight="1" x14ac:dyDescent="0.15">
      <c r="A17" s="15" t="s">
        <v>59</v>
      </c>
      <c r="B17" s="8">
        <v>5</v>
      </c>
      <c r="D17" s="38">
        <f t="shared" si="34"/>
        <v>12</v>
      </c>
      <c r="E17" s="41">
        <f t="shared" si="21"/>
        <v>43891</v>
      </c>
      <c r="F17" s="16"/>
      <c r="G17" s="17">
        <f t="shared" si="22"/>
        <v>1.3544710380286924</v>
      </c>
      <c r="H17" s="40">
        <f t="shared" si="0"/>
        <v>7.1203021148272816</v>
      </c>
      <c r="I17" s="16">
        <f t="shared" si="23"/>
        <v>83437</v>
      </c>
      <c r="J17" s="16">
        <f>SUM(I$5:I17)</f>
        <v>180243</v>
      </c>
      <c r="K17" s="16"/>
      <c r="L17" s="18">
        <f t="shared" ca="1" si="24"/>
        <v>2.4371069182389937</v>
      </c>
      <c r="M17" s="40">
        <f t="shared" ca="1" si="1"/>
        <v>3.6645335813523183</v>
      </c>
      <c r="N17" s="16">
        <f t="shared" ca="1" si="2"/>
        <v>2226</v>
      </c>
      <c r="O17" s="16">
        <f ca="1">SUM(N$5:N17)</f>
        <v>3445</v>
      </c>
      <c r="P17" s="16"/>
      <c r="Q17" s="19">
        <f t="shared" ca="1" si="25"/>
        <v>1.9113086222488529E-2</v>
      </c>
      <c r="R17" s="16"/>
      <c r="S17" s="16">
        <f t="shared" ca="1" si="3"/>
        <v>25000</v>
      </c>
      <c r="T17" s="19">
        <f t="shared" ca="1" si="26"/>
        <v>8.9039999999999994E-2</v>
      </c>
      <c r="U17" s="35"/>
      <c r="V17" s="30">
        <f t="shared" si="4"/>
        <v>1.4</v>
      </c>
      <c r="W17" s="16">
        <f t="shared" si="5"/>
        <v>9819757</v>
      </c>
      <c r="X17" s="16"/>
      <c r="Y17" s="16">
        <f t="shared" si="6"/>
        <v>8344</v>
      </c>
      <c r="Z17" s="16">
        <f t="shared" si="7"/>
        <v>50062</v>
      </c>
      <c r="AA17" s="16">
        <f t="shared" si="8"/>
        <v>25031</v>
      </c>
      <c r="AB17" s="16"/>
      <c r="AC17" s="16">
        <f t="shared" si="9"/>
        <v>18261</v>
      </c>
      <c r="AD17" s="16">
        <f t="shared" si="10"/>
        <v>297976</v>
      </c>
      <c r="AE17" s="16">
        <f t="shared" si="11"/>
        <v>9683763</v>
      </c>
      <c r="AF17" s="16"/>
      <c r="AG17" s="16">
        <f>ROUND(AC17*Desire_severe*(1-SUM($BA$5:$BC16)/Population),0)</f>
        <v>18084</v>
      </c>
      <c r="AH17" s="16">
        <f>ROUND(AD17*Desire_mild*(1-SUM($BA$5:$BC16)/Population),0)</f>
        <v>147543</v>
      </c>
      <c r="AI17" s="16">
        <f>ROUND(AE17*Desire_asy*(1-SUM($BA$5:$BC16)/Population),0)</f>
        <v>191797</v>
      </c>
      <c r="AJ17" s="16"/>
      <c r="AK17" s="16">
        <f t="shared" si="35"/>
        <v>25000</v>
      </c>
      <c r="AL17" s="16">
        <f t="shared" si="13"/>
        <v>18750</v>
      </c>
      <c r="AM17" s="16">
        <f t="shared" si="27"/>
        <v>6250</v>
      </c>
      <c r="AN17" s="16"/>
      <c r="AO17" s="16">
        <f t="shared" si="36"/>
        <v>18084</v>
      </c>
      <c r="AP17" s="16">
        <f t="shared" si="37"/>
        <v>666</v>
      </c>
      <c r="AQ17" s="16">
        <f t="shared" si="28"/>
        <v>0</v>
      </c>
      <c r="AR17" s="16"/>
      <c r="AS17" s="16">
        <f t="shared" si="38"/>
        <v>0</v>
      </c>
      <c r="AT17" s="16">
        <f t="shared" si="14"/>
        <v>146877</v>
      </c>
      <c r="AU17" s="16">
        <f t="shared" si="14"/>
        <v>191797</v>
      </c>
      <c r="AV17" s="16"/>
      <c r="AW17" s="16">
        <f t="shared" si="29"/>
        <v>0</v>
      </c>
      <c r="AX17" s="16">
        <f t="shared" si="15"/>
        <v>2711</v>
      </c>
      <c r="AY17" s="16">
        <f t="shared" si="30"/>
        <v>3539</v>
      </c>
      <c r="AZ17" s="16"/>
      <c r="BA17" s="16">
        <f t="shared" si="31"/>
        <v>18084</v>
      </c>
      <c r="BB17" s="16">
        <f t="shared" si="16"/>
        <v>3377</v>
      </c>
      <c r="BC17" s="16">
        <f t="shared" si="16"/>
        <v>3539</v>
      </c>
      <c r="BD17" s="16"/>
      <c r="BE17" s="20">
        <f t="shared" si="32"/>
        <v>0.45693006954712229</v>
      </c>
      <c r="BF17" s="20">
        <f t="shared" si="17"/>
        <v>0.16800681934115499</v>
      </c>
      <c r="BG17" s="20">
        <f t="shared" si="17"/>
        <v>2.584842276705863E-3</v>
      </c>
      <c r="BH17" s="16"/>
      <c r="BI17" s="16">
        <f t="shared" si="18"/>
        <v>6630</v>
      </c>
      <c r="BJ17" s="16">
        <f t="shared" si="19"/>
        <v>460</v>
      </c>
      <c r="BK17" s="16">
        <f t="shared" si="20"/>
        <v>14</v>
      </c>
      <c r="BL17" s="16"/>
      <c r="BM17" s="16">
        <f t="shared" si="33"/>
        <v>7104</v>
      </c>
      <c r="BN17" s="22">
        <f t="shared" si="39"/>
        <v>1.3094930875576036</v>
      </c>
      <c r="BO17" s="19">
        <f t="shared" si="40"/>
        <v>0.28416000000000002</v>
      </c>
    </row>
    <row r="18" spans="1:67" s="9" customFormat="1" ht="13" customHeight="1" x14ac:dyDescent="0.15">
      <c r="B18" s="8"/>
      <c r="D18" s="38">
        <f t="shared" si="34"/>
        <v>13</v>
      </c>
      <c r="E18" s="41">
        <f t="shared" si="21"/>
        <v>43896</v>
      </c>
      <c r="F18" s="16"/>
      <c r="G18" s="17">
        <f t="shared" si="22"/>
        <v>1.3284931822002779</v>
      </c>
      <c r="H18" s="40">
        <f t="shared" si="0"/>
        <v>8.3832785590259675</v>
      </c>
      <c r="I18" s="16">
        <f t="shared" si="23"/>
        <v>113013</v>
      </c>
      <c r="J18" s="16">
        <f>SUM(I$5:I18)</f>
        <v>293256</v>
      </c>
      <c r="K18" s="16"/>
      <c r="L18" s="18">
        <f t="shared" ca="1" si="24"/>
        <v>1.3094930875576036</v>
      </c>
      <c r="M18" s="40">
        <f t="shared" ca="1" si="1"/>
        <v>5.8912271450417419</v>
      </c>
      <c r="N18" s="16">
        <f t="shared" ca="1" si="2"/>
        <v>5425</v>
      </c>
      <c r="O18" s="16">
        <f ca="1">SUM(N$5:N18)</f>
        <v>8870</v>
      </c>
      <c r="P18" s="16"/>
      <c r="Q18" s="19">
        <f t="shared" ca="1" si="25"/>
        <v>3.0246610470033009E-2</v>
      </c>
      <c r="R18" s="16"/>
      <c r="S18" s="16">
        <f t="shared" ca="1" si="3"/>
        <v>25000</v>
      </c>
      <c r="T18" s="19">
        <f t="shared" ca="1" si="26"/>
        <v>0.217</v>
      </c>
      <c r="U18" s="35"/>
      <c r="V18" s="30">
        <f t="shared" si="4"/>
        <v>1.4</v>
      </c>
      <c r="W18" s="16">
        <f t="shared" si="5"/>
        <v>9706744</v>
      </c>
      <c r="X18" s="16"/>
      <c r="Y18" s="16">
        <f t="shared" si="6"/>
        <v>11301</v>
      </c>
      <c r="Z18" s="16">
        <f t="shared" si="7"/>
        <v>67808</v>
      </c>
      <c r="AA18" s="16">
        <f t="shared" si="8"/>
        <v>33904</v>
      </c>
      <c r="AB18" s="16"/>
      <c r="AC18" s="16">
        <f t="shared" si="9"/>
        <v>21188</v>
      </c>
      <c r="AD18" s="16">
        <f t="shared" si="10"/>
        <v>314983</v>
      </c>
      <c r="AE18" s="16">
        <f t="shared" si="11"/>
        <v>9663829</v>
      </c>
      <c r="AF18" s="16"/>
      <c r="AG18" s="16">
        <f>ROUND(AC18*Desire_severe*(1-SUM($BA$5:$BC17)/Population),0)</f>
        <v>20930</v>
      </c>
      <c r="AH18" s="16">
        <f>ROUND(AD18*Desire_mild*(1-SUM($BA$5:$BC17)/Population),0)</f>
        <v>155570</v>
      </c>
      <c r="AI18" s="16">
        <f>ROUND(AE18*Desire_asy*(1-SUM($BA$5:$BC17)/Population),0)</f>
        <v>190919</v>
      </c>
      <c r="AJ18" s="16"/>
      <c r="AK18" s="16">
        <f t="shared" si="35"/>
        <v>25000</v>
      </c>
      <c r="AL18" s="16">
        <f t="shared" si="13"/>
        <v>18750</v>
      </c>
      <c r="AM18" s="16">
        <f t="shared" si="27"/>
        <v>6250</v>
      </c>
      <c r="AN18" s="16"/>
      <c r="AO18" s="16">
        <f t="shared" si="36"/>
        <v>18750</v>
      </c>
      <c r="AP18" s="16">
        <f t="shared" si="37"/>
        <v>0</v>
      </c>
      <c r="AQ18" s="16">
        <f t="shared" si="28"/>
        <v>0</v>
      </c>
      <c r="AR18" s="16"/>
      <c r="AS18" s="16">
        <f t="shared" si="38"/>
        <v>2180</v>
      </c>
      <c r="AT18" s="16">
        <f t="shared" si="14"/>
        <v>155570</v>
      </c>
      <c r="AU18" s="16">
        <f t="shared" si="14"/>
        <v>190919</v>
      </c>
      <c r="AV18" s="16"/>
      <c r="AW18" s="16">
        <f t="shared" si="29"/>
        <v>39</v>
      </c>
      <c r="AX18" s="16">
        <f t="shared" si="15"/>
        <v>2789</v>
      </c>
      <c r="AY18" s="16">
        <f t="shared" si="30"/>
        <v>3422</v>
      </c>
      <c r="AZ18" s="16"/>
      <c r="BA18" s="16">
        <f t="shared" si="31"/>
        <v>18789</v>
      </c>
      <c r="BB18" s="16">
        <f t="shared" si="16"/>
        <v>2789</v>
      </c>
      <c r="BC18" s="16">
        <f t="shared" si="16"/>
        <v>3422</v>
      </c>
      <c r="BD18" s="16"/>
      <c r="BE18" s="20">
        <f t="shared" si="32"/>
        <v>0.53336794411931276</v>
      </c>
      <c r="BF18" s="20">
        <f t="shared" si="17"/>
        <v>0.2152751100853062</v>
      </c>
      <c r="BG18" s="20">
        <f t="shared" si="17"/>
        <v>3.5083402241492478E-3</v>
      </c>
      <c r="BH18" s="16"/>
      <c r="BI18" s="16">
        <f t="shared" si="18"/>
        <v>8035</v>
      </c>
      <c r="BJ18" s="16">
        <f t="shared" si="19"/>
        <v>484</v>
      </c>
      <c r="BK18" s="16">
        <f t="shared" si="20"/>
        <v>17</v>
      </c>
      <c r="BL18" s="16"/>
      <c r="BM18" s="16">
        <f t="shared" si="33"/>
        <v>8536</v>
      </c>
      <c r="BN18" s="22">
        <f t="shared" si="39"/>
        <v>1.2015765765765767</v>
      </c>
      <c r="BO18" s="19">
        <f t="shared" si="40"/>
        <v>0.34144000000000002</v>
      </c>
    </row>
    <row r="19" spans="1:67" s="9" customFormat="1" ht="13" customHeight="1" x14ac:dyDescent="0.15">
      <c r="A19" s="7" t="s">
        <v>6</v>
      </c>
      <c r="B19" s="25"/>
      <c r="D19" s="38">
        <f t="shared" si="34"/>
        <v>14</v>
      </c>
      <c r="E19" s="41">
        <f t="shared" si="21"/>
        <v>43901</v>
      </c>
      <c r="F19" s="16"/>
      <c r="G19" s="17">
        <f t="shared" si="22"/>
        <v>1.2945842796912153</v>
      </c>
      <c r="H19" s="40">
        <f t="shared" si="0"/>
        <v>9.5342863975350163</v>
      </c>
      <c r="I19" s="16">
        <f t="shared" si="23"/>
        <v>150137</v>
      </c>
      <c r="J19" s="16">
        <f>SUM(I$5:I19)</f>
        <v>443393</v>
      </c>
      <c r="K19" s="16"/>
      <c r="L19" s="18">
        <f t="shared" ca="1" si="24"/>
        <v>1.2015765765765767</v>
      </c>
      <c r="M19" s="40">
        <f t="shared" ca="1" si="1"/>
        <v>8.0952668435085435</v>
      </c>
      <c r="N19" s="16">
        <f t="shared" ca="1" si="2"/>
        <v>7104</v>
      </c>
      <c r="O19" s="16">
        <f ca="1">SUM(N$5:N19)</f>
        <v>15974</v>
      </c>
      <c r="P19" s="16"/>
      <c r="Q19" s="19">
        <f t="shared" ca="1" si="25"/>
        <v>3.6026730237058317E-2</v>
      </c>
      <c r="R19" s="16"/>
      <c r="S19" s="16">
        <f t="shared" ca="1" si="3"/>
        <v>25000</v>
      </c>
      <c r="T19" s="19">
        <f t="shared" ca="1" si="26"/>
        <v>0.28416000000000002</v>
      </c>
      <c r="U19" s="35"/>
      <c r="V19" s="30">
        <f t="shared" si="4"/>
        <v>1.4</v>
      </c>
      <c r="W19" s="16">
        <f t="shared" si="5"/>
        <v>9556607</v>
      </c>
      <c r="X19" s="16"/>
      <c r="Y19" s="16">
        <f t="shared" si="6"/>
        <v>15014</v>
      </c>
      <c r="Z19" s="16">
        <f t="shared" si="7"/>
        <v>90082</v>
      </c>
      <c r="AA19" s="16">
        <f t="shared" si="8"/>
        <v>45041</v>
      </c>
      <c r="AB19" s="16"/>
      <c r="AC19" s="16">
        <f t="shared" si="9"/>
        <v>24864</v>
      </c>
      <c r="AD19" s="16">
        <f t="shared" si="10"/>
        <v>336329</v>
      </c>
      <c r="AE19" s="16">
        <f t="shared" si="11"/>
        <v>9638807</v>
      </c>
      <c r="AF19" s="16"/>
      <c r="AG19" s="16">
        <f>ROUND(AC19*Desire_severe*(1-SUM($BA$5:$BC18)/Population),0)</f>
        <v>24498</v>
      </c>
      <c r="AH19" s="16">
        <f>ROUND(AD19*Desire_mild*(1-SUM($BA$5:$BC18)/Population),0)</f>
        <v>165692</v>
      </c>
      <c r="AI19" s="16">
        <f>ROUND(AE19*Desire_asy*(1-SUM($BA$5:$BC18)/Population),0)</f>
        <v>189942</v>
      </c>
      <c r="AJ19" s="16"/>
      <c r="AK19" s="16">
        <f t="shared" si="35"/>
        <v>25000</v>
      </c>
      <c r="AL19" s="16">
        <f t="shared" si="13"/>
        <v>18750</v>
      </c>
      <c r="AM19" s="16">
        <f t="shared" si="27"/>
        <v>6250</v>
      </c>
      <c r="AN19" s="16"/>
      <c r="AO19" s="16">
        <f t="shared" si="36"/>
        <v>18750</v>
      </c>
      <c r="AP19" s="16">
        <f t="shared" si="37"/>
        <v>0</v>
      </c>
      <c r="AQ19" s="16">
        <f t="shared" si="28"/>
        <v>0</v>
      </c>
      <c r="AR19" s="16"/>
      <c r="AS19" s="16">
        <f t="shared" si="38"/>
        <v>5748</v>
      </c>
      <c r="AT19" s="16">
        <f t="shared" si="14"/>
        <v>165692</v>
      </c>
      <c r="AU19" s="16">
        <f t="shared" si="14"/>
        <v>189942</v>
      </c>
      <c r="AV19" s="16"/>
      <c r="AW19" s="16">
        <f t="shared" si="29"/>
        <v>99</v>
      </c>
      <c r="AX19" s="16">
        <f t="shared" si="15"/>
        <v>2866</v>
      </c>
      <c r="AY19" s="16">
        <f t="shared" si="30"/>
        <v>3285</v>
      </c>
      <c r="AZ19" s="16"/>
      <c r="BA19" s="16">
        <f t="shared" si="31"/>
        <v>18849</v>
      </c>
      <c r="BB19" s="16">
        <f t="shared" si="16"/>
        <v>2866</v>
      </c>
      <c r="BC19" s="16">
        <f t="shared" si="16"/>
        <v>3285</v>
      </c>
      <c r="BD19" s="16"/>
      <c r="BE19" s="20">
        <f t="shared" si="32"/>
        <v>0.60384491634491633</v>
      </c>
      <c r="BF19" s="20">
        <f t="shared" si="17"/>
        <v>0.26783893152240812</v>
      </c>
      <c r="BG19" s="20">
        <f t="shared" si="17"/>
        <v>4.6728811978494853E-3</v>
      </c>
      <c r="BH19" s="16"/>
      <c r="BI19" s="16">
        <f t="shared" si="18"/>
        <v>9120</v>
      </c>
      <c r="BJ19" s="16">
        <f t="shared" si="19"/>
        <v>618</v>
      </c>
      <c r="BK19" s="16">
        <f t="shared" si="20"/>
        <v>19</v>
      </c>
      <c r="BL19" s="16"/>
      <c r="BM19" s="16">
        <f t="shared" si="33"/>
        <v>9757</v>
      </c>
      <c r="BN19" s="22">
        <f t="shared" si="39"/>
        <v>1.143041237113402</v>
      </c>
      <c r="BO19" s="19">
        <f t="shared" si="40"/>
        <v>0.39028000000000002</v>
      </c>
    </row>
    <row r="20" spans="1:67" s="9" customFormat="1" ht="13" customHeight="1" x14ac:dyDescent="0.15">
      <c r="A20" s="15" t="s">
        <v>1</v>
      </c>
      <c r="B20" s="25">
        <v>10000000</v>
      </c>
      <c r="D20" s="38">
        <f t="shared" si="34"/>
        <v>15</v>
      </c>
      <c r="E20" s="41">
        <f t="shared" si="21"/>
        <v>43906</v>
      </c>
      <c r="F20" s="16"/>
      <c r="G20" s="17">
        <f t="shared" si="22"/>
        <v>0.62995909757415169</v>
      </c>
      <c r="H20" s="40">
        <f t="shared" si="0"/>
        <v>19.733990997373194</v>
      </c>
      <c r="I20" s="16">
        <f t="shared" si="23"/>
        <v>194365</v>
      </c>
      <c r="J20" s="16">
        <f>SUM(I$5:I20)</f>
        <v>637758</v>
      </c>
      <c r="K20" s="16"/>
      <c r="L20" s="18">
        <f t="shared" ca="1" si="24"/>
        <v>1.143041237113402</v>
      </c>
      <c r="M20" s="40">
        <f t="shared" ca="1" si="1"/>
        <v>10.342343816916316</v>
      </c>
      <c r="N20" s="16">
        <f t="shared" ca="1" si="2"/>
        <v>8536</v>
      </c>
      <c r="O20" s="16">
        <f ca="1">SUM(N$5:N20)</f>
        <v>24510</v>
      </c>
      <c r="P20" s="16"/>
      <c r="Q20" s="19">
        <f t="shared" ca="1" si="25"/>
        <v>3.8431505367239611E-2</v>
      </c>
      <c r="R20" s="16"/>
      <c r="S20" s="16">
        <f t="shared" ca="1" si="3"/>
        <v>25000</v>
      </c>
      <c r="T20" s="19">
        <f t="shared" ca="1" si="26"/>
        <v>0.34144000000000002</v>
      </c>
      <c r="U20" s="35"/>
      <c r="V20" s="30">
        <f t="shared" si="4"/>
        <v>0.7</v>
      </c>
      <c r="W20" s="16">
        <f t="shared" si="5"/>
        <v>9362242</v>
      </c>
      <c r="X20" s="16"/>
      <c r="Y20" s="16">
        <f t="shared" si="6"/>
        <v>19437</v>
      </c>
      <c r="Z20" s="16">
        <f t="shared" si="7"/>
        <v>116619</v>
      </c>
      <c r="AA20" s="16">
        <f t="shared" si="8"/>
        <v>58309</v>
      </c>
      <c r="AB20" s="16"/>
      <c r="AC20" s="16">
        <f t="shared" si="9"/>
        <v>29243</v>
      </c>
      <c r="AD20" s="16">
        <f t="shared" si="10"/>
        <v>361760</v>
      </c>
      <c r="AE20" s="16">
        <f t="shared" si="11"/>
        <v>9608997</v>
      </c>
      <c r="AF20" s="16"/>
      <c r="AG20" s="16">
        <f>ROUND(AC20*Desire_severe*(1-SUM($BA$5:$BC19)/Population),0)</f>
        <v>28740</v>
      </c>
      <c r="AH20" s="16">
        <f>ROUND(AD20*Desire_mild*(1-SUM($BA$5:$BC19)/Population),0)</f>
        <v>177769</v>
      </c>
      <c r="AI20" s="16">
        <f>ROUND(AE20*Desire_asy*(1-SUM($BA$5:$BC19)/Population),0)</f>
        <v>188874</v>
      </c>
      <c r="AJ20" s="16"/>
      <c r="AK20" s="16">
        <f t="shared" si="35"/>
        <v>25000</v>
      </c>
      <c r="AL20" s="16">
        <f t="shared" si="13"/>
        <v>18750</v>
      </c>
      <c r="AM20" s="16">
        <f t="shared" si="27"/>
        <v>6250</v>
      </c>
      <c r="AN20" s="16"/>
      <c r="AO20" s="16">
        <f t="shared" si="36"/>
        <v>18750</v>
      </c>
      <c r="AP20" s="16">
        <f t="shared" si="37"/>
        <v>0</v>
      </c>
      <c r="AQ20" s="16">
        <f t="shared" si="28"/>
        <v>0</v>
      </c>
      <c r="AR20" s="16"/>
      <c r="AS20" s="16">
        <f t="shared" si="38"/>
        <v>9990</v>
      </c>
      <c r="AT20" s="16">
        <f t="shared" si="14"/>
        <v>177769</v>
      </c>
      <c r="AU20" s="16">
        <f t="shared" si="14"/>
        <v>188874</v>
      </c>
      <c r="AV20" s="16"/>
      <c r="AW20" s="16">
        <f t="shared" si="29"/>
        <v>166</v>
      </c>
      <c r="AX20" s="16">
        <f t="shared" si="15"/>
        <v>2950</v>
      </c>
      <c r="AY20" s="16">
        <f t="shared" si="30"/>
        <v>3134</v>
      </c>
      <c r="AZ20" s="16"/>
      <c r="BA20" s="16">
        <f t="shared" si="31"/>
        <v>18916</v>
      </c>
      <c r="BB20" s="16">
        <f t="shared" si="16"/>
        <v>2950</v>
      </c>
      <c r="BC20" s="16">
        <f t="shared" si="16"/>
        <v>3134</v>
      </c>
      <c r="BD20" s="16"/>
      <c r="BE20" s="20">
        <f t="shared" si="32"/>
        <v>0.66467188728926585</v>
      </c>
      <c r="BF20" s="20">
        <f t="shared" si="17"/>
        <v>0.3223656567890314</v>
      </c>
      <c r="BG20" s="20">
        <f t="shared" si="17"/>
        <v>6.0681671562599097E-3</v>
      </c>
      <c r="BH20" s="16"/>
      <c r="BI20" s="16">
        <f t="shared" si="18"/>
        <v>10071</v>
      </c>
      <c r="BJ20" s="16">
        <f t="shared" si="19"/>
        <v>765</v>
      </c>
      <c r="BK20" s="16">
        <f t="shared" si="20"/>
        <v>21</v>
      </c>
      <c r="BL20" s="16"/>
      <c r="BM20" s="16">
        <f t="shared" si="33"/>
        <v>10857</v>
      </c>
      <c r="BN20" s="22">
        <f t="shared" si="39"/>
        <v>1.112739571589628</v>
      </c>
      <c r="BO20" s="19">
        <f t="shared" si="40"/>
        <v>0.43428</v>
      </c>
    </row>
    <row r="21" spans="1:67" s="9" customFormat="1" ht="13" customHeight="1" x14ac:dyDescent="0.15">
      <c r="A21" s="15" t="s">
        <v>56</v>
      </c>
      <c r="B21" s="8">
        <v>1</v>
      </c>
      <c r="D21" s="38">
        <f t="shared" si="34"/>
        <v>16</v>
      </c>
      <c r="E21" s="41">
        <f t="shared" si="21"/>
        <v>43911</v>
      </c>
      <c r="F21" s="16"/>
      <c r="G21" s="17">
        <f t="shared" si="22"/>
        <v>0.61915845869881247</v>
      </c>
      <c r="H21" s="40">
        <f t="shared" si="0"/>
        <v>36.458321990384064</v>
      </c>
      <c r="I21" s="16">
        <f t="shared" si="23"/>
        <v>122442</v>
      </c>
      <c r="J21" s="16">
        <f>SUM(I$5:I21)</f>
        <v>760200</v>
      </c>
      <c r="K21" s="16"/>
      <c r="L21" s="18">
        <f t="shared" ca="1" si="24"/>
        <v>1.112739571589628</v>
      </c>
      <c r="M21" s="40">
        <f t="shared" ca="1" si="1"/>
        <v>12.59207742754662</v>
      </c>
      <c r="N21" s="16">
        <f t="shared" ca="1" si="2"/>
        <v>9757</v>
      </c>
      <c r="O21" s="16">
        <f ca="1">SUM(N$5:N21)</f>
        <v>34267</v>
      </c>
      <c r="P21" s="16"/>
      <c r="Q21" s="19">
        <f t="shared" ca="1" si="25"/>
        <v>4.5076295711654828E-2</v>
      </c>
      <c r="R21" s="16"/>
      <c r="S21" s="16">
        <f t="shared" ca="1" si="3"/>
        <v>25000</v>
      </c>
      <c r="T21" s="19">
        <f t="shared" ca="1" si="26"/>
        <v>0.39028000000000002</v>
      </c>
      <c r="U21" s="35"/>
      <c r="V21" s="30">
        <f t="shared" si="4"/>
        <v>0.7</v>
      </c>
      <c r="W21" s="16">
        <f t="shared" si="5"/>
        <v>9239800</v>
      </c>
      <c r="X21" s="16"/>
      <c r="Y21" s="16">
        <f t="shared" si="6"/>
        <v>12244</v>
      </c>
      <c r="Z21" s="16">
        <f t="shared" si="7"/>
        <v>73465</v>
      </c>
      <c r="AA21" s="16">
        <f t="shared" si="8"/>
        <v>36733</v>
      </c>
      <c r="AB21" s="16"/>
      <c r="AC21" s="16">
        <f t="shared" si="9"/>
        <v>22122</v>
      </c>
      <c r="AD21" s="16">
        <f t="shared" si="10"/>
        <v>320404</v>
      </c>
      <c r="AE21" s="16">
        <f t="shared" si="11"/>
        <v>9657474</v>
      </c>
      <c r="AF21" s="16"/>
      <c r="AG21" s="16">
        <f>ROUND(AC21*Desire_severe*(1-SUM($BA$5:$BC20)/Population),0)</f>
        <v>21686</v>
      </c>
      <c r="AH21" s="16">
        <f>ROUND(AD21*Desire_mild*(1-SUM($BA$5:$BC20)/Population),0)</f>
        <v>157046</v>
      </c>
      <c r="AI21" s="16">
        <f>ROUND(AE21*Desire_asy*(1-SUM($BA$5:$BC20)/Population),0)</f>
        <v>189344</v>
      </c>
      <c r="AJ21" s="16"/>
      <c r="AK21" s="16">
        <f t="shared" si="35"/>
        <v>25000</v>
      </c>
      <c r="AL21" s="16">
        <f t="shared" si="13"/>
        <v>18750</v>
      </c>
      <c r="AM21" s="16">
        <f t="shared" si="27"/>
        <v>6250</v>
      </c>
      <c r="AN21" s="16"/>
      <c r="AO21" s="16">
        <f t="shared" si="36"/>
        <v>18750</v>
      </c>
      <c r="AP21" s="16">
        <f t="shared" si="37"/>
        <v>0</v>
      </c>
      <c r="AQ21" s="16">
        <f t="shared" si="28"/>
        <v>0</v>
      </c>
      <c r="AR21" s="16"/>
      <c r="AS21" s="16">
        <f t="shared" si="38"/>
        <v>2936</v>
      </c>
      <c r="AT21" s="16">
        <f t="shared" si="38"/>
        <v>157046</v>
      </c>
      <c r="AU21" s="16">
        <f t="shared" si="38"/>
        <v>189344</v>
      </c>
      <c r="AV21" s="16"/>
      <c r="AW21" s="16">
        <f t="shared" si="29"/>
        <v>53</v>
      </c>
      <c r="AX21" s="16">
        <f t="shared" si="15"/>
        <v>2810</v>
      </c>
      <c r="AY21" s="16">
        <f t="shared" si="30"/>
        <v>3387</v>
      </c>
      <c r="AZ21" s="16"/>
      <c r="BA21" s="16">
        <f t="shared" si="31"/>
        <v>18803</v>
      </c>
      <c r="BB21" s="16">
        <f t="shared" si="31"/>
        <v>2810</v>
      </c>
      <c r="BC21" s="16">
        <f t="shared" si="31"/>
        <v>3387</v>
      </c>
      <c r="BD21" s="16"/>
      <c r="BE21" s="20">
        <f t="shared" si="32"/>
        <v>0.55347617756079925</v>
      </c>
      <c r="BF21" s="20">
        <f t="shared" si="32"/>
        <v>0.22928864808179672</v>
      </c>
      <c r="BG21" s="20">
        <f t="shared" si="32"/>
        <v>3.8035825931294251E-3</v>
      </c>
      <c r="BH21" s="16"/>
      <c r="BI21" s="16">
        <f t="shared" si="18"/>
        <v>8343</v>
      </c>
      <c r="BJ21" s="16">
        <f t="shared" si="19"/>
        <v>519</v>
      </c>
      <c r="BK21" s="16">
        <f t="shared" si="20"/>
        <v>17</v>
      </c>
      <c r="BL21" s="16"/>
      <c r="BM21" s="16">
        <f t="shared" si="33"/>
        <v>8879</v>
      </c>
      <c r="BN21" s="22">
        <f t="shared" si="39"/>
        <v>0.81781339228147742</v>
      </c>
      <c r="BO21" s="19">
        <f t="shared" si="40"/>
        <v>0.35515999999999998</v>
      </c>
    </row>
    <row r="22" spans="1:67" s="9" customFormat="1" ht="13" customHeight="1" x14ac:dyDescent="0.15">
      <c r="A22" s="15"/>
      <c r="B22" s="8"/>
      <c r="D22" s="38">
        <f t="shared" si="34"/>
        <v>17</v>
      </c>
      <c r="E22" s="41">
        <f t="shared" si="21"/>
        <v>43916</v>
      </c>
      <c r="F22" s="16"/>
      <c r="G22" s="17">
        <f t="shared" si="22"/>
        <v>0.61252324860508367</v>
      </c>
      <c r="H22" s="40">
        <f t="shared" si="0"/>
        <v>64.11266815249877</v>
      </c>
      <c r="I22" s="16">
        <f t="shared" si="23"/>
        <v>75811</v>
      </c>
      <c r="J22" s="16">
        <f>SUM(I$5:I22)</f>
        <v>836011</v>
      </c>
      <c r="K22" s="16"/>
      <c r="L22" s="18">
        <f t="shared" ca="1" si="24"/>
        <v>0.81781339228147742</v>
      </c>
      <c r="M22" s="40">
        <f t="shared" ca="1" si="1"/>
        <v>19.294247735488042</v>
      </c>
      <c r="N22" s="16">
        <f t="shared" ca="1" si="2"/>
        <v>10857</v>
      </c>
      <c r="O22" s="16">
        <f ca="1">SUM(N$5:N22)</f>
        <v>45124</v>
      </c>
      <c r="P22" s="16"/>
      <c r="Q22" s="19">
        <f t="shared" ca="1" si="25"/>
        <v>5.3975366352835071E-2</v>
      </c>
      <c r="R22" s="16"/>
      <c r="S22" s="16">
        <f t="shared" ca="1" si="3"/>
        <v>25000</v>
      </c>
      <c r="T22" s="19">
        <f t="shared" ca="1" si="26"/>
        <v>0.43428</v>
      </c>
      <c r="U22" s="35"/>
      <c r="V22" s="30">
        <f t="shared" si="4"/>
        <v>0.7</v>
      </c>
      <c r="W22" s="16">
        <f t="shared" si="5"/>
        <v>9163989</v>
      </c>
      <c r="X22" s="16"/>
      <c r="Y22" s="16">
        <f t="shared" si="6"/>
        <v>7581</v>
      </c>
      <c r="Z22" s="16">
        <f t="shared" si="7"/>
        <v>45487</v>
      </c>
      <c r="AA22" s="16">
        <f t="shared" si="8"/>
        <v>22743</v>
      </c>
      <c r="AB22" s="16"/>
      <c r="AC22" s="16">
        <f t="shared" si="9"/>
        <v>17505</v>
      </c>
      <c r="AD22" s="16">
        <f t="shared" si="10"/>
        <v>293592</v>
      </c>
      <c r="AE22" s="16">
        <f t="shared" si="11"/>
        <v>9688903</v>
      </c>
      <c r="AF22" s="16"/>
      <c r="AG22" s="16">
        <f>ROUND(AC22*Desire_severe*(1-SUM($BA$5:$BC21)/Population),0)</f>
        <v>17116</v>
      </c>
      <c r="AH22" s="16">
        <f>ROUND(AD22*Desire_mild*(1-SUM($BA$5:$BC21)/Population),0)</f>
        <v>143537</v>
      </c>
      <c r="AI22" s="16">
        <f>ROUND(AE22*Desire_asy*(1-SUM($BA$5:$BC21)/Population),0)</f>
        <v>189476</v>
      </c>
      <c r="AJ22" s="16"/>
      <c r="AK22" s="16">
        <f t="shared" si="35"/>
        <v>25000</v>
      </c>
      <c r="AL22" s="16">
        <f t="shared" si="13"/>
        <v>18750</v>
      </c>
      <c r="AM22" s="16">
        <f t="shared" si="27"/>
        <v>6250</v>
      </c>
      <c r="AN22" s="16"/>
      <c r="AO22" s="16">
        <f t="shared" si="36"/>
        <v>17116</v>
      </c>
      <c r="AP22" s="16">
        <f t="shared" si="37"/>
        <v>1634</v>
      </c>
      <c r="AQ22" s="16">
        <f t="shared" si="28"/>
        <v>0</v>
      </c>
      <c r="AR22" s="16"/>
      <c r="AS22" s="16">
        <f t="shared" si="38"/>
        <v>0</v>
      </c>
      <c r="AT22" s="16">
        <f t="shared" si="38"/>
        <v>141903</v>
      </c>
      <c r="AU22" s="16">
        <f t="shared" si="38"/>
        <v>189476</v>
      </c>
      <c r="AV22" s="16"/>
      <c r="AW22" s="16">
        <f t="shared" si="29"/>
        <v>0</v>
      </c>
      <c r="AX22" s="16">
        <f t="shared" si="15"/>
        <v>2676</v>
      </c>
      <c r="AY22" s="16">
        <f t="shared" si="30"/>
        <v>3574</v>
      </c>
      <c r="AZ22" s="16"/>
      <c r="BA22" s="16">
        <f t="shared" si="31"/>
        <v>17116</v>
      </c>
      <c r="BB22" s="16">
        <f t="shared" si="31"/>
        <v>4310</v>
      </c>
      <c r="BC22" s="16">
        <f t="shared" si="31"/>
        <v>3574</v>
      </c>
      <c r="BD22" s="16"/>
      <c r="BE22" s="20">
        <f t="shared" si="32"/>
        <v>0.43307626392459297</v>
      </c>
      <c r="BF22" s="20">
        <f t="shared" si="32"/>
        <v>0.15493269571377966</v>
      </c>
      <c r="BG22" s="20">
        <f t="shared" si="32"/>
        <v>2.3473245629561986E-3</v>
      </c>
      <c r="BH22" s="16"/>
      <c r="BI22" s="16">
        <f t="shared" si="18"/>
        <v>5949</v>
      </c>
      <c r="BJ22" s="16">
        <f t="shared" si="19"/>
        <v>541</v>
      </c>
      <c r="BK22" s="16">
        <f t="shared" si="20"/>
        <v>14</v>
      </c>
      <c r="BL22" s="16"/>
      <c r="BM22" s="16">
        <f t="shared" si="33"/>
        <v>6504</v>
      </c>
      <c r="BN22" s="22">
        <f t="shared" si="39"/>
        <v>0.73251492285167252</v>
      </c>
      <c r="BO22" s="19">
        <f t="shared" si="40"/>
        <v>0.26016</v>
      </c>
    </row>
    <row r="23" spans="1:67" s="9" customFormat="1" ht="13" customHeight="1" x14ac:dyDescent="0.15">
      <c r="A23" s="15" t="s">
        <v>43</v>
      </c>
      <c r="B23" s="26">
        <v>1E-3</v>
      </c>
      <c r="D23" s="38">
        <f t="shared" si="34"/>
        <v>18</v>
      </c>
      <c r="E23" s="41">
        <f t="shared" si="21"/>
        <v>43921</v>
      </c>
      <c r="F23" s="16"/>
      <c r="G23" s="17">
        <f t="shared" si="22"/>
        <v>0.60847187526918767</v>
      </c>
      <c r="H23" s="40">
        <f t="shared" si="0"/>
        <v>109.96401515652877</v>
      </c>
      <c r="I23" s="16">
        <f t="shared" si="23"/>
        <v>46436</v>
      </c>
      <c r="J23" s="16">
        <f>SUM(I$5:I23)</f>
        <v>882447</v>
      </c>
      <c r="K23" s="16"/>
      <c r="L23" s="18">
        <f t="shared" ca="1" si="24"/>
        <v>0.73251492285167252</v>
      </c>
      <c r="M23" s="40">
        <f t="shared" ca="1" si="1"/>
        <v>30.47619022539433</v>
      </c>
      <c r="N23" s="16">
        <f t="shared" ca="1" si="2"/>
        <v>8879</v>
      </c>
      <c r="O23" s="16">
        <f ca="1">SUM(N$5:N23)</f>
        <v>54003</v>
      </c>
      <c r="P23" s="16"/>
      <c r="Q23" s="19">
        <f t="shared" ca="1" si="25"/>
        <v>6.1196876412974374E-2</v>
      </c>
      <c r="R23" s="16"/>
      <c r="S23" s="16">
        <f t="shared" ca="1" si="3"/>
        <v>25000</v>
      </c>
      <c r="T23" s="19">
        <f t="shared" ca="1" si="26"/>
        <v>0.35515999999999998</v>
      </c>
      <c r="U23" s="35"/>
      <c r="V23" s="30">
        <f t="shared" si="4"/>
        <v>0.7</v>
      </c>
      <c r="W23" s="16">
        <f t="shared" si="5"/>
        <v>9117553</v>
      </c>
      <c r="X23" s="16"/>
      <c r="Y23" s="16">
        <f t="shared" si="6"/>
        <v>4644</v>
      </c>
      <c r="Z23" s="16">
        <f t="shared" si="7"/>
        <v>27862</v>
      </c>
      <c r="AA23" s="16">
        <f t="shared" si="8"/>
        <v>13930</v>
      </c>
      <c r="AB23" s="16"/>
      <c r="AC23" s="16">
        <f t="shared" si="9"/>
        <v>14598</v>
      </c>
      <c r="AD23" s="16">
        <f t="shared" si="10"/>
        <v>276701</v>
      </c>
      <c r="AE23" s="16">
        <f t="shared" si="11"/>
        <v>9708701</v>
      </c>
      <c r="AF23" s="16"/>
      <c r="AG23" s="16">
        <f>ROUND(AC23*Desire_severe*(1-SUM($BA$5:$BC22)/Population),0)</f>
        <v>14237</v>
      </c>
      <c r="AH23" s="16">
        <f>ROUND(AD23*Desire_mild*(1-SUM($BA$5:$BC22)/Population),0)</f>
        <v>134933</v>
      </c>
      <c r="AI23" s="16">
        <f>ROUND(AE23*Desire_asy*(1-SUM($BA$5:$BC22)/Population),0)</f>
        <v>189378</v>
      </c>
      <c r="AJ23" s="16"/>
      <c r="AK23" s="16">
        <f t="shared" si="35"/>
        <v>25000</v>
      </c>
      <c r="AL23" s="16">
        <f t="shared" si="13"/>
        <v>18750</v>
      </c>
      <c r="AM23" s="16">
        <f t="shared" si="27"/>
        <v>6250</v>
      </c>
      <c r="AN23" s="16"/>
      <c r="AO23" s="16">
        <f t="shared" si="36"/>
        <v>14237</v>
      </c>
      <c r="AP23" s="16">
        <f t="shared" si="37"/>
        <v>4513</v>
      </c>
      <c r="AQ23" s="16">
        <f t="shared" si="28"/>
        <v>0</v>
      </c>
      <c r="AR23" s="16"/>
      <c r="AS23" s="16">
        <f t="shared" si="38"/>
        <v>0</v>
      </c>
      <c r="AT23" s="16">
        <f t="shared" si="38"/>
        <v>130420</v>
      </c>
      <c r="AU23" s="16">
        <f t="shared" si="38"/>
        <v>189378</v>
      </c>
      <c r="AV23" s="16"/>
      <c r="AW23" s="16">
        <f t="shared" si="29"/>
        <v>0</v>
      </c>
      <c r="AX23" s="16">
        <f t="shared" si="15"/>
        <v>2549</v>
      </c>
      <c r="AY23" s="16">
        <f t="shared" si="30"/>
        <v>3701</v>
      </c>
      <c r="AZ23" s="16"/>
      <c r="BA23" s="16">
        <f t="shared" si="31"/>
        <v>14237</v>
      </c>
      <c r="BB23" s="16">
        <f t="shared" si="31"/>
        <v>7062</v>
      </c>
      <c r="BC23" s="16">
        <f t="shared" si="31"/>
        <v>3701</v>
      </c>
      <c r="BD23" s="16"/>
      <c r="BE23" s="20">
        <f t="shared" si="32"/>
        <v>0.31812577065351416</v>
      </c>
      <c r="BF23" s="20">
        <f t="shared" si="32"/>
        <v>0.10069352839346443</v>
      </c>
      <c r="BG23" s="20">
        <f t="shared" si="32"/>
        <v>1.4347954479183157E-3</v>
      </c>
      <c r="BH23" s="16"/>
      <c r="BI23" s="16">
        <f t="shared" si="18"/>
        <v>3642</v>
      </c>
      <c r="BJ23" s="16">
        <f t="shared" si="19"/>
        <v>582</v>
      </c>
      <c r="BK23" s="16">
        <f t="shared" si="20"/>
        <v>11</v>
      </c>
      <c r="BL23" s="16"/>
      <c r="BM23" s="16">
        <f t="shared" si="33"/>
        <v>4235</v>
      </c>
      <c r="BN23" s="22">
        <f t="shared" si="39"/>
        <v>0.65113776137761381</v>
      </c>
      <c r="BO23" s="19">
        <f t="shared" si="40"/>
        <v>0.1694</v>
      </c>
    </row>
    <row r="24" spans="1:67" s="9" customFormat="1" ht="13" customHeight="1" x14ac:dyDescent="0.15">
      <c r="A24" s="15" t="s">
        <v>44</v>
      </c>
      <c r="B24" s="26">
        <v>2.5000000000000001E-2</v>
      </c>
      <c r="D24" s="38">
        <f t="shared" si="34"/>
        <v>19</v>
      </c>
      <c r="E24" s="41">
        <f t="shared" si="21"/>
        <v>43926</v>
      </c>
      <c r="F24" s="16"/>
      <c r="G24" s="17">
        <f t="shared" si="22"/>
        <v>0.60601663422403118</v>
      </c>
      <c r="H24" s="40">
        <f t="shared" si="0"/>
        <v>186.05573779112837</v>
      </c>
      <c r="I24" s="16">
        <f t="shared" si="23"/>
        <v>28255</v>
      </c>
      <c r="J24" s="16">
        <f>SUM(I$5:I24)</f>
        <v>910702</v>
      </c>
      <c r="K24" s="16"/>
      <c r="L24" s="18">
        <f t="shared" ca="1" si="24"/>
        <v>0.65113776137761381</v>
      </c>
      <c r="M24" s="40">
        <f t="shared" ca="1" si="1"/>
        <v>51.229572429750021</v>
      </c>
      <c r="N24" s="16">
        <f t="shared" ca="1" si="2"/>
        <v>6504</v>
      </c>
      <c r="O24" s="16">
        <f ca="1">SUM(N$5:N24)</f>
        <v>60507</v>
      </c>
      <c r="P24" s="16"/>
      <c r="Q24" s="19">
        <f t="shared" ca="1" si="25"/>
        <v>6.6439955111551305E-2</v>
      </c>
      <c r="R24" s="16"/>
      <c r="S24" s="16">
        <f t="shared" ca="1" si="3"/>
        <v>25000</v>
      </c>
      <c r="T24" s="19">
        <f t="shared" ca="1" si="26"/>
        <v>0.26016</v>
      </c>
      <c r="U24" s="35"/>
      <c r="V24" s="30">
        <f t="shared" si="4"/>
        <v>0.7</v>
      </c>
      <c r="W24" s="16">
        <f t="shared" si="5"/>
        <v>9089298</v>
      </c>
      <c r="X24" s="16"/>
      <c r="Y24" s="16">
        <f t="shared" si="6"/>
        <v>2826</v>
      </c>
      <c r="Z24" s="16">
        <f t="shared" si="7"/>
        <v>16953</v>
      </c>
      <c r="AA24" s="16">
        <f t="shared" si="8"/>
        <v>8476</v>
      </c>
      <c r="AB24" s="16"/>
      <c r="AC24" s="16">
        <f t="shared" si="9"/>
        <v>12798</v>
      </c>
      <c r="AD24" s="16">
        <f t="shared" si="10"/>
        <v>266247</v>
      </c>
      <c r="AE24" s="16">
        <f t="shared" si="11"/>
        <v>9720955</v>
      </c>
      <c r="AF24" s="16"/>
      <c r="AG24" s="16">
        <f>ROUND(AC24*Desire_severe*(1-SUM($BA$5:$BC23)/Population),0)</f>
        <v>12450</v>
      </c>
      <c r="AH24" s="16">
        <f>ROUND(AD24*Desire_mild*(1-SUM($BA$5:$BC23)/Population),0)</f>
        <v>129503</v>
      </c>
      <c r="AI24" s="16">
        <f>ROUND(AE24*Desire_asy*(1-SUM($BA$5:$BC23)/Population),0)</f>
        <v>189131</v>
      </c>
      <c r="AJ24" s="16"/>
      <c r="AK24" s="16">
        <f t="shared" si="35"/>
        <v>25000</v>
      </c>
      <c r="AL24" s="16">
        <f t="shared" si="13"/>
        <v>18750</v>
      </c>
      <c r="AM24" s="16">
        <f t="shared" si="27"/>
        <v>6250</v>
      </c>
      <c r="AN24" s="16"/>
      <c r="AO24" s="16">
        <f t="shared" si="36"/>
        <v>12450</v>
      </c>
      <c r="AP24" s="16">
        <f t="shared" si="37"/>
        <v>6300</v>
      </c>
      <c r="AQ24" s="16">
        <f t="shared" si="28"/>
        <v>0</v>
      </c>
      <c r="AR24" s="16"/>
      <c r="AS24" s="16">
        <f t="shared" si="38"/>
        <v>0</v>
      </c>
      <c r="AT24" s="16">
        <f t="shared" si="38"/>
        <v>123203</v>
      </c>
      <c r="AU24" s="16">
        <f t="shared" si="38"/>
        <v>189131</v>
      </c>
      <c r="AV24" s="16"/>
      <c r="AW24" s="16">
        <f t="shared" si="29"/>
        <v>0</v>
      </c>
      <c r="AX24" s="16">
        <f t="shared" si="15"/>
        <v>2465</v>
      </c>
      <c r="AY24" s="16">
        <f t="shared" si="30"/>
        <v>3785</v>
      </c>
      <c r="AZ24" s="16"/>
      <c r="BA24" s="16">
        <f t="shared" si="31"/>
        <v>12450</v>
      </c>
      <c r="BB24" s="16">
        <f t="shared" si="31"/>
        <v>8765</v>
      </c>
      <c r="BC24" s="16">
        <f t="shared" si="31"/>
        <v>3785</v>
      </c>
      <c r="BD24" s="16"/>
      <c r="BE24" s="20">
        <f t="shared" si="32"/>
        <v>0.22081575246132207</v>
      </c>
      <c r="BF24" s="20">
        <f t="shared" si="32"/>
        <v>6.3673956889655089E-2</v>
      </c>
      <c r="BG24" s="20">
        <f t="shared" si="32"/>
        <v>8.7193079280790823E-4</v>
      </c>
      <c r="BH24" s="16"/>
      <c r="BI24" s="16">
        <f t="shared" si="18"/>
        <v>2218</v>
      </c>
      <c r="BJ24" s="16">
        <f t="shared" si="19"/>
        <v>462</v>
      </c>
      <c r="BK24" s="16">
        <f t="shared" si="20"/>
        <v>11</v>
      </c>
      <c r="BL24" s="16"/>
      <c r="BM24" s="16">
        <f t="shared" si="33"/>
        <v>2691</v>
      </c>
      <c r="BN24" s="22">
        <f t="shared" si="39"/>
        <v>0.63541912632821729</v>
      </c>
      <c r="BO24" s="19">
        <f t="shared" si="40"/>
        <v>0.10764</v>
      </c>
    </row>
    <row r="25" spans="1:67" s="9" customFormat="1" ht="13" customHeight="1" x14ac:dyDescent="0.15">
      <c r="A25" s="15"/>
      <c r="B25" s="23"/>
      <c r="D25" s="38">
        <f t="shared" si="34"/>
        <v>20</v>
      </c>
      <c r="E25" s="41">
        <f t="shared" si="21"/>
        <v>43931</v>
      </c>
      <c r="F25" s="16"/>
      <c r="G25" s="17">
        <f t="shared" si="22"/>
        <v>0.60450855574373652</v>
      </c>
      <c r="H25" s="40">
        <f t="shared" si="0"/>
        <v>312.38529259132986</v>
      </c>
      <c r="I25" s="16">
        <f t="shared" si="23"/>
        <v>17123</v>
      </c>
      <c r="J25" s="16">
        <f>SUM(I$5:I25)</f>
        <v>927825</v>
      </c>
      <c r="K25" s="16"/>
      <c r="L25" s="18">
        <f t="shared" ca="1" si="24"/>
        <v>0.63541912632821729</v>
      </c>
      <c r="M25" s="40">
        <f t="shared" ca="1" si="1"/>
        <v>85.102256308001898</v>
      </c>
      <c r="N25" s="16">
        <f t="shared" ca="1" si="2"/>
        <v>4235</v>
      </c>
      <c r="O25" s="16">
        <f ca="1">SUM(N$5:N25)</f>
        <v>64742</v>
      </c>
      <c r="P25" s="16"/>
      <c r="Q25" s="19">
        <f t="shared" ca="1" si="25"/>
        <v>6.9778244819874435E-2</v>
      </c>
      <c r="R25" s="16"/>
      <c r="S25" s="16">
        <f t="shared" ca="1" si="3"/>
        <v>25000</v>
      </c>
      <c r="T25" s="19">
        <f t="shared" ca="1" si="26"/>
        <v>0.1694</v>
      </c>
      <c r="U25" s="35"/>
      <c r="V25" s="30">
        <f t="shared" si="4"/>
        <v>0.7</v>
      </c>
      <c r="W25" s="16">
        <f t="shared" si="5"/>
        <v>9072175</v>
      </c>
      <c r="X25" s="16"/>
      <c r="Y25" s="16">
        <f t="shared" si="6"/>
        <v>1712</v>
      </c>
      <c r="Z25" s="16">
        <f t="shared" si="7"/>
        <v>10274</v>
      </c>
      <c r="AA25" s="16">
        <f t="shared" si="8"/>
        <v>5137</v>
      </c>
      <c r="AB25" s="16"/>
      <c r="AC25" s="16">
        <f t="shared" si="9"/>
        <v>11695</v>
      </c>
      <c r="AD25" s="16">
        <f t="shared" si="10"/>
        <v>259846</v>
      </c>
      <c r="AE25" s="16">
        <f t="shared" si="11"/>
        <v>9728459</v>
      </c>
      <c r="AF25" s="16"/>
      <c r="AG25" s="16">
        <f>ROUND(AC25*Desire_severe*(1-SUM($BA$5:$BC24)/Population),0)</f>
        <v>11348</v>
      </c>
      <c r="AH25" s="16">
        <f>ROUND(AD25*Desire_mild*(1-SUM($BA$5:$BC24)/Population),0)</f>
        <v>126064</v>
      </c>
      <c r="AI25" s="16">
        <f>ROUND(AE25*Desire_asy*(1-SUM($BA$5:$BC24)/Population),0)</f>
        <v>188790</v>
      </c>
      <c r="AJ25" s="16"/>
      <c r="AK25" s="16">
        <f t="shared" si="35"/>
        <v>25000</v>
      </c>
      <c r="AL25" s="16">
        <f t="shared" si="13"/>
        <v>18750</v>
      </c>
      <c r="AM25" s="16">
        <f t="shared" si="27"/>
        <v>6250</v>
      </c>
      <c r="AN25" s="16"/>
      <c r="AO25" s="16">
        <f t="shared" si="36"/>
        <v>11348</v>
      </c>
      <c r="AP25" s="16">
        <f t="shared" si="37"/>
        <v>7402</v>
      </c>
      <c r="AQ25" s="16">
        <f t="shared" si="28"/>
        <v>0</v>
      </c>
      <c r="AR25" s="16"/>
      <c r="AS25" s="16">
        <f t="shared" si="38"/>
        <v>0</v>
      </c>
      <c r="AT25" s="16">
        <f t="shared" si="38"/>
        <v>118662</v>
      </c>
      <c r="AU25" s="16">
        <f t="shared" si="38"/>
        <v>188790</v>
      </c>
      <c r="AV25" s="16"/>
      <c r="AW25" s="16">
        <f t="shared" si="29"/>
        <v>0</v>
      </c>
      <c r="AX25" s="16">
        <f t="shared" si="15"/>
        <v>2412</v>
      </c>
      <c r="AY25" s="16">
        <f t="shared" si="30"/>
        <v>3838</v>
      </c>
      <c r="AZ25" s="16"/>
      <c r="BA25" s="16">
        <f t="shared" si="31"/>
        <v>11348</v>
      </c>
      <c r="BB25" s="16">
        <f t="shared" si="31"/>
        <v>9814</v>
      </c>
      <c r="BC25" s="16">
        <f t="shared" si="31"/>
        <v>3838</v>
      </c>
      <c r="BD25" s="16"/>
      <c r="BE25" s="20">
        <f t="shared" si="32"/>
        <v>0.146387345019239</v>
      </c>
      <c r="BF25" s="20">
        <f t="shared" si="32"/>
        <v>3.9538803752992159E-2</v>
      </c>
      <c r="BG25" s="20">
        <f t="shared" si="32"/>
        <v>5.2803840772726698E-4</v>
      </c>
      <c r="BH25" s="16"/>
      <c r="BI25" s="16">
        <f t="shared" si="18"/>
        <v>1348</v>
      </c>
      <c r="BJ25" s="16">
        <f t="shared" si="19"/>
        <v>329</v>
      </c>
      <c r="BK25" s="16">
        <f t="shared" si="20"/>
        <v>10</v>
      </c>
      <c r="BL25" s="16"/>
      <c r="BM25" s="16">
        <f t="shared" si="33"/>
        <v>1687</v>
      </c>
      <c r="BN25" s="22">
        <f t="shared" si="39"/>
        <v>0.62690449646971391</v>
      </c>
      <c r="BO25" s="19">
        <f t="shared" si="40"/>
        <v>6.7479999999999998E-2</v>
      </c>
    </row>
    <row r="26" spans="1:67" s="9" customFormat="1" ht="13" customHeight="1" x14ac:dyDescent="0.15">
      <c r="A26" s="15" t="s">
        <v>48</v>
      </c>
      <c r="B26" s="23">
        <v>1</v>
      </c>
      <c r="D26" s="38">
        <f t="shared" si="34"/>
        <v>21</v>
      </c>
      <c r="E26" s="41">
        <f t="shared" si="21"/>
        <v>43936</v>
      </c>
      <c r="F26" s="16"/>
      <c r="G26" s="17">
        <f t="shared" si="22"/>
        <v>0.60361317747077581</v>
      </c>
      <c r="H26" s="40">
        <f t="shared" si="0"/>
        <v>522.13271890435738</v>
      </c>
      <c r="I26" s="16">
        <f t="shared" si="23"/>
        <v>10351</v>
      </c>
      <c r="J26" s="16">
        <f>SUM(I$5:I26)</f>
        <v>938176</v>
      </c>
      <c r="K26" s="16"/>
      <c r="L26" s="18">
        <f t="shared" ca="1" si="24"/>
        <v>0.62690449646971391</v>
      </c>
      <c r="M26" s="40">
        <f t="shared" ca="1" si="1"/>
        <v>140.25861194813567</v>
      </c>
      <c r="N26" s="16">
        <f t="shared" ca="1" si="2"/>
        <v>2691</v>
      </c>
      <c r="O26" s="16">
        <f ca="1">SUM(N$5:N26)</f>
        <v>67433</v>
      </c>
      <c r="P26" s="16"/>
      <c r="Q26" s="19">
        <f t="shared" ca="1" si="25"/>
        <v>7.1876705436932947E-2</v>
      </c>
      <c r="R26" s="16"/>
      <c r="S26" s="16">
        <f t="shared" ca="1" si="3"/>
        <v>25000</v>
      </c>
      <c r="T26" s="19">
        <f t="shared" ca="1" si="26"/>
        <v>0.10764</v>
      </c>
      <c r="U26" s="35"/>
      <c r="V26" s="30">
        <f t="shared" si="4"/>
        <v>0.7</v>
      </c>
      <c r="W26" s="16">
        <f t="shared" si="5"/>
        <v>9061824</v>
      </c>
      <c r="X26" s="16"/>
      <c r="Y26" s="16">
        <f t="shared" si="6"/>
        <v>1035</v>
      </c>
      <c r="Z26" s="16">
        <f t="shared" si="7"/>
        <v>6211</v>
      </c>
      <c r="AA26" s="16">
        <f t="shared" si="8"/>
        <v>3105</v>
      </c>
      <c r="AB26" s="16"/>
      <c r="AC26" s="16">
        <f t="shared" si="9"/>
        <v>11025</v>
      </c>
      <c r="AD26" s="16">
        <f t="shared" si="10"/>
        <v>255952</v>
      </c>
      <c r="AE26" s="16">
        <f t="shared" si="11"/>
        <v>9733023</v>
      </c>
      <c r="AF26" s="16"/>
      <c r="AG26" s="16">
        <f>ROUND(AC26*Desire_severe*(1-SUM($BA$5:$BC25)/Population),0)</f>
        <v>10670</v>
      </c>
      <c r="AH26" s="16">
        <f>ROUND(AD26*Desire_mild*(1-SUM($BA$5:$BC25)/Population),0)</f>
        <v>123855</v>
      </c>
      <c r="AI26" s="16">
        <f>ROUND(AE26*Desire_asy*(1-SUM($BA$5:$BC25)/Population),0)</f>
        <v>188392</v>
      </c>
      <c r="AJ26" s="16"/>
      <c r="AK26" s="16">
        <f t="shared" si="35"/>
        <v>25000</v>
      </c>
      <c r="AL26" s="16">
        <f t="shared" si="13"/>
        <v>18750</v>
      </c>
      <c r="AM26" s="16">
        <f t="shared" si="27"/>
        <v>6250</v>
      </c>
      <c r="AN26" s="16"/>
      <c r="AO26" s="16">
        <f t="shared" si="36"/>
        <v>10670</v>
      </c>
      <c r="AP26" s="16">
        <f t="shared" si="37"/>
        <v>8080</v>
      </c>
      <c r="AQ26" s="16">
        <f t="shared" si="28"/>
        <v>0</v>
      </c>
      <c r="AR26" s="16"/>
      <c r="AS26" s="16">
        <f t="shared" si="38"/>
        <v>0</v>
      </c>
      <c r="AT26" s="16">
        <f t="shared" si="38"/>
        <v>115775</v>
      </c>
      <c r="AU26" s="16">
        <f t="shared" si="38"/>
        <v>188392</v>
      </c>
      <c r="AV26" s="16"/>
      <c r="AW26" s="16">
        <f t="shared" si="29"/>
        <v>0</v>
      </c>
      <c r="AX26" s="16">
        <f t="shared" si="15"/>
        <v>2379</v>
      </c>
      <c r="AY26" s="16">
        <f t="shared" si="30"/>
        <v>3871</v>
      </c>
      <c r="AZ26" s="16"/>
      <c r="BA26" s="16">
        <f t="shared" si="31"/>
        <v>10670</v>
      </c>
      <c r="BB26" s="16">
        <f t="shared" si="31"/>
        <v>10459</v>
      </c>
      <c r="BC26" s="16">
        <f t="shared" si="31"/>
        <v>3871</v>
      </c>
      <c r="BD26" s="16"/>
      <c r="BE26" s="20">
        <f t="shared" si="32"/>
        <v>9.3877551020408165E-2</v>
      </c>
      <c r="BF26" s="20">
        <f t="shared" si="32"/>
        <v>2.4266268675376634E-2</v>
      </c>
      <c r="BG26" s="20">
        <f t="shared" si="32"/>
        <v>3.1901702071391387E-4</v>
      </c>
      <c r="BH26" s="16"/>
      <c r="BI26" s="16">
        <f t="shared" si="18"/>
        <v>820</v>
      </c>
      <c r="BJ26" s="16">
        <f t="shared" si="19"/>
        <v>223</v>
      </c>
      <c r="BK26" s="16">
        <f t="shared" si="20"/>
        <v>9</v>
      </c>
      <c r="BL26" s="16"/>
      <c r="BM26" s="16">
        <f t="shared" si="33"/>
        <v>1052</v>
      </c>
      <c r="BN26" s="22">
        <f t="shared" si="39"/>
        <v>0.62359217545939538</v>
      </c>
      <c r="BO26" s="19">
        <f t="shared" si="40"/>
        <v>4.2079999999999999E-2</v>
      </c>
    </row>
    <row r="27" spans="1:67" s="9" customFormat="1" ht="13" customHeight="1" x14ac:dyDescent="0.15">
      <c r="A27" s="15" t="s">
        <v>49</v>
      </c>
      <c r="B27" s="23">
        <v>0.5</v>
      </c>
      <c r="D27" s="38">
        <f t="shared" si="34"/>
        <v>22</v>
      </c>
      <c r="E27" s="41">
        <f t="shared" si="21"/>
        <v>43941</v>
      </c>
      <c r="F27" s="16"/>
      <c r="G27" s="17">
        <f t="shared" si="22"/>
        <v>0.60307298335467352</v>
      </c>
      <c r="H27" s="40">
        <f t="shared" si="0"/>
        <v>870.39524351230739</v>
      </c>
      <c r="I27" s="16">
        <f t="shared" si="23"/>
        <v>6248</v>
      </c>
      <c r="J27" s="16">
        <f>SUM(I$5:I27)</f>
        <v>944424</v>
      </c>
      <c r="K27" s="16"/>
      <c r="L27" s="18">
        <f t="shared" ca="1" si="24"/>
        <v>0.62359217545939538</v>
      </c>
      <c r="M27" s="40">
        <f t="shared" ca="1" si="1"/>
        <v>229.43921414840034</v>
      </c>
      <c r="N27" s="16">
        <f t="shared" ca="1" si="2"/>
        <v>1687</v>
      </c>
      <c r="O27" s="16">
        <f ca="1">SUM(N$5:N27)</f>
        <v>69120</v>
      </c>
      <c r="P27" s="16"/>
      <c r="Q27" s="19">
        <f t="shared" ca="1" si="25"/>
        <v>7.318746664633681E-2</v>
      </c>
      <c r="R27" s="16"/>
      <c r="S27" s="16">
        <f t="shared" ca="1" si="3"/>
        <v>25000</v>
      </c>
      <c r="T27" s="19">
        <f t="shared" ca="1" si="26"/>
        <v>6.7479999999999998E-2</v>
      </c>
      <c r="U27" s="35"/>
      <c r="V27" s="30">
        <f t="shared" si="4"/>
        <v>0.7</v>
      </c>
      <c r="W27" s="16">
        <f t="shared" si="5"/>
        <v>9055576</v>
      </c>
      <c r="X27" s="16"/>
      <c r="Y27" s="16">
        <f t="shared" si="6"/>
        <v>625</v>
      </c>
      <c r="Z27" s="16">
        <f t="shared" si="7"/>
        <v>3749</v>
      </c>
      <c r="AA27" s="16">
        <f t="shared" si="8"/>
        <v>1874</v>
      </c>
      <c r="AB27" s="16"/>
      <c r="AC27" s="16">
        <f t="shared" si="9"/>
        <v>10619</v>
      </c>
      <c r="AD27" s="16">
        <f t="shared" si="10"/>
        <v>253593</v>
      </c>
      <c r="AE27" s="16">
        <f t="shared" si="11"/>
        <v>9735788</v>
      </c>
      <c r="AF27" s="16"/>
      <c r="AG27" s="16">
        <f>ROUND(AC27*Desire_severe*(1-SUM($BA$5:$BC26)/Population),0)</f>
        <v>10251</v>
      </c>
      <c r="AH27" s="16">
        <f>ROUND(AD27*Desire_mild*(1-SUM($BA$5:$BC26)/Population),0)</f>
        <v>122397</v>
      </c>
      <c r="AI27" s="16">
        <f>ROUND(AE27*Desire_asy*(1-SUM($BA$5:$BC26)/Population),0)</f>
        <v>187959</v>
      </c>
      <c r="AJ27" s="16"/>
      <c r="AK27" s="16">
        <f t="shared" si="35"/>
        <v>25000</v>
      </c>
      <c r="AL27" s="16">
        <f t="shared" si="13"/>
        <v>18750</v>
      </c>
      <c r="AM27" s="16">
        <f t="shared" si="27"/>
        <v>6250</v>
      </c>
      <c r="AN27" s="16"/>
      <c r="AO27" s="16">
        <f t="shared" si="36"/>
        <v>10251</v>
      </c>
      <c r="AP27" s="16">
        <f t="shared" si="37"/>
        <v>8499</v>
      </c>
      <c r="AQ27" s="16">
        <f t="shared" si="28"/>
        <v>0</v>
      </c>
      <c r="AR27" s="16"/>
      <c r="AS27" s="16">
        <f t="shared" si="38"/>
        <v>0</v>
      </c>
      <c r="AT27" s="16">
        <f t="shared" si="38"/>
        <v>113898</v>
      </c>
      <c r="AU27" s="16">
        <f t="shared" si="38"/>
        <v>187959</v>
      </c>
      <c r="AV27" s="16"/>
      <c r="AW27" s="16">
        <f t="shared" si="29"/>
        <v>0</v>
      </c>
      <c r="AX27" s="16">
        <f t="shared" si="15"/>
        <v>2358</v>
      </c>
      <c r="AY27" s="16">
        <f t="shared" si="30"/>
        <v>3892</v>
      </c>
      <c r="AZ27" s="16"/>
      <c r="BA27" s="16">
        <f t="shared" si="31"/>
        <v>10251</v>
      </c>
      <c r="BB27" s="16">
        <f t="shared" si="31"/>
        <v>10857</v>
      </c>
      <c r="BC27" s="16">
        <f t="shared" si="31"/>
        <v>3892</v>
      </c>
      <c r="BD27" s="16"/>
      <c r="BE27" s="20">
        <f t="shared" si="32"/>
        <v>5.8856766173839344E-2</v>
      </c>
      <c r="BF27" s="20">
        <f t="shared" si="32"/>
        <v>1.4783531091157879E-2</v>
      </c>
      <c r="BG27" s="20">
        <f t="shared" si="32"/>
        <v>1.924857032630538E-4</v>
      </c>
      <c r="BH27" s="16"/>
      <c r="BI27" s="16">
        <f t="shared" si="18"/>
        <v>502</v>
      </c>
      <c r="BJ27" s="16">
        <f t="shared" si="19"/>
        <v>149</v>
      </c>
      <c r="BK27" s="16">
        <f t="shared" si="20"/>
        <v>9</v>
      </c>
      <c r="BL27" s="16"/>
      <c r="BM27" s="16">
        <f t="shared" si="33"/>
        <v>660</v>
      </c>
      <c r="BN27" s="22">
        <f t="shared" si="39"/>
        <v>0.62737642585551334</v>
      </c>
      <c r="BO27" s="19">
        <f t="shared" si="40"/>
        <v>2.64E-2</v>
      </c>
    </row>
    <row r="28" spans="1:67" s="9" customFormat="1" ht="13" customHeight="1" x14ac:dyDescent="0.15">
      <c r="A28" s="15" t="s">
        <v>50</v>
      </c>
      <c r="B28" s="23">
        <v>0.02</v>
      </c>
      <c r="D28" s="38">
        <f t="shared" si="34"/>
        <v>23</v>
      </c>
      <c r="E28" s="41">
        <f t="shared" si="21"/>
        <v>43946</v>
      </c>
      <c r="F28" s="16"/>
      <c r="G28" s="17">
        <f t="shared" si="22"/>
        <v>0.60270700636942676</v>
      </c>
      <c r="H28" s="40">
        <f t="shared" si="0"/>
        <v>1448.7524576091473</v>
      </c>
      <c r="I28" s="16">
        <f t="shared" si="23"/>
        <v>3768</v>
      </c>
      <c r="J28" s="16">
        <f>SUM(I$5:I28)</f>
        <v>948192</v>
      </c>
      <c r="K28" s="16"/>
      <c r="L28" s="18">
        <f t="shared" ca="1" si="24"/>
        <v>0.62737642585551334</v>
      </c>
      <c r="M28" s="40">
        <f t="shared" ca="1" si="1"/>
        <v>370.21140632437971</v>
      </c>
      <c r="N28" s="16">
        <f t="shared" ca="1" si="2"/>
        <v>1052</v>
      </c>
      <c r="O28" s="16">
        <f ca="1">SUM(N$5:N28)</f>
        <v>70172</v>
      </c>
      <c r="P28" s="16"/>
      <c r="Q28" s="19">
        <f t="shared" ca="1" si="25"/>
        <v>7.4006108467483372E-2</v>
      </c>
      <c r="R28" s="16"/>
      <c r="S28" s="16">
        <f t="shared" ca="1" si="3"/>
        <v>25000</v>
      </c>
      <c r="T28" s="19">
        <f t="shared" ca="1" si="26"/>
        <v>4.2079999999999999E-2</v>
      </c>
      <c r="U28" s="35"/>
      <c r="V28" s="30">
        <f t="shared" si="4"/>
        <v>0.7</v>
      </c>
      <c r="W28" s="16">
        <f t="shared" si="5"/>
        <v>9051808</v>
      </c>
      <c r="X28" s="16"/>
      <c r="Y28" s="16">
        <f t="shared" si="6"/>
        <v>377</v>
      </c>
      <c r="Z28" s="16">
        <f t="shared" si="7"/>
        <v>2261</v>
      </c>
      <c r="AA28" s="16">
        <f t="shared" si="8"/>
        <v>1130</v>
      </c>
      <c r="AB28" s="16"/>
      <c r="AC28" s="16">
        <f t="shared" si="9"/>
        <v>10373</v>
      </c>
      <c r="AD28" s="16">
        <f t="shared" si="10"/>
        <v>252167</v>
      </c>
      <c r="AE28" s="16">
        <f t="shared" si="11"/>
        <v>9737460</v>
      </c>
      <c r="AF28" s="16"/>
      <c r="AG28" s="16">
        <f>ROUND(AC28*Desire_severe*(1-SUM($BA$5:$BC27)/Population),0)</f>
        <v>9987</v>
      </c>
      <c r="AH28" s="16">
        <f>ROUND(AD28*Desire_mild*(1-SUM($BA$5:$BC27)/Population),0)</f>
        <v>121393</v>
      </c>
      <c r="AI28" s="16">
        <f>ROUND(AE28*Desire_asy*(1-SUM($BA$5:$BC27)/Population),0)</f>
        <v>187505</v>
      </c>
      <c r="AJ28" s="16"/>
      <c r="AK28" s="16">
        <f t="shared" si="35"/>
        <v>25000</v>
      </c>
      <c r="AL28" s="16">
        <f t="shared" si="13"/>
        <v>18750</v>
      </c>
      <c r="AM28" s="16">
        <f t="shared" si="27"/>
        <v>6250</v>
      </c>
      <c r="AN28" s="16"/>
      <c r="AO28" s="16">
        <f t="shared" si="36"/>
        <v>9987</v>
      </c>
      <c r="AP28" s="16">
        <f t="shared" si="37"/>
        <v>8763</v>
      </c>
      <c r="AQ28" s="16">
        <f t="shared" si="28"/>
        <v>0</v>
      </c>
      <c r="AR28" s="16"/>
      <c r="AS28" s="16">
        <f t="shared" si="38"/>
        <v>0</v>
      </c>
      <c r="AT28" s="16">
        <f t="shared" si="38"/>
        <v>112630</v>
      </c>
      <c r="AU28" s="16">
        <f t="shared" si="38"/>
        <v>187505</v>
      </c>
      <c r="AV28" s="16"/>
      <c r="AW28" s="16">
        <f t="shared" si="29"/>
        <v>0</v>
      </c>
      <c r="AX28" s="16">
        <f t="shared" si="15"/>
        <v>2345</v>
      </c>
      <c r="AY28" s="16">
        <f t="shared" si="30"/>
        <v>3905</v>
      </c>
      <c r="AZ28" s="16"/>
      <c r="BA28" s="16">
        <f t="shared" si="31"/>
        <v>9987</v>
      </c>
      <c r="BB28" s="16">
        <f t="shared" si="31"/>
        <v>11108</v>
      </c>
      <c r="BC28" s="16">
        <f t="shared" si="31"/>
        <v>3905</v>
      </c>
      <c r="BD28" s="16"/>
      <c r="BE28" s="20">
        <f t="shared" si="32"/>
        <v>3.6344355538417042E-2</v>
      </c>
      <c r="BF28" s="20">
        <f t="shared" si="32"/>
        <v>8.9662802825111933E-3</v>
      </c>
      <c r="BG28" s="20">
        <f t="shared" si="32"/>
        <v>1.1604668979384767E-4</v>
      </c>
      <c r="BH28" s="16"/>
      <c r="BI28" s="16">
        <f t="shared" si="18"/>
        <v>309</v>
      </c>
      <c r="BJ28" s="16">
        <f t="shared" si="19"/>
        <v>102</v>
      </c>
      <c r="BK28" s="16">
        <f t="shared" si="20"/>
        <v>8</v>
      </c>
      <c r="BL28" s="16"/>
      <c r="BM28" s="16">
        <f t="shared" si="33"/>
        <v>419</v>
      </c>
      <c r="BN28" s="22">
        <f t="shared" si="39"/>
        <v>0.63484848484848488</v>
      </c>
      <c r="BO28" s="19">
        <f t="shared" si="40"/>
        <v>1.6760000000000001E-2</v>
      </c>
    </row>
    <row r="29" spans="1:67" s="9" customFormat="1" ht="13" customHeight="1" x14ac:dyDescent="0.15">
      <c r="B29" s="8"/>
      <c r="D29" s="38">
        <f t="shared" si="34"/>
        <v>24</v>
      </c>
      <c r="E29" s="41">
        <f t="shared" si="21"/>
        <v>43951</v>
      </c>
      <c r="F29" s="16"/>
      <c r="G29" s="17">
        <f t="shared" si="22"/>
        <v>0.60237780713342137</v>
      </c>
      <c r="H29" s="40">
        <f t="shared" si="0"/>
        <v>2409.6664755050983</v>
      </c>
      <c r="I29" s="16">
        <f t="shared" si="23"/>
        <v>2271</v>
      </c>
      <c r="J29" s="16">
        <f>SUM(I$5:I29)</f>
        <v>950463</v>
      </c>
      <c r="K29" s="16"/>
      <c r="L29" s="18">
        <f t="shared" ca="1" si="24"/>
        <v>0.63484848484848488</v>
      </c>
      <c r="M29" s="40">
        <f t="shared" ca="1" si="1"/>
        <v>587.61423249009749</v>
      </c>
      <c r="N29" s="16">
        <f t="shared" ca="1" si="2"/>
        <v>660</v>
      </c>
      <c r="O29" s="16">
        <f ca="1">SUM(N$5:N29)</f>
        <v>70832</v>
      </c>
      <c r="P29" s="16"/>
      <c r="Q29" s="19">
        <f t="shared" ca="1" si="25"/>
        <v>7.4523679511985214E-2</v>
      </c>
      <c r="R29" s="16"/>
      <c r="S29" s="16">
        <f t="shared" ca="1" si="3"/>
        <v>25000</v>
      </c>
      <c r="T29" s="19">
        <f t="shared" ca="1" si="26"/>
        <v>2.64E-2</v>
      </c>
      <c r="U29" s="35"/>
      <c r="V29" s="30">
        <f t="shared" si="4"/>
        <v>0.7</v>
      </c>
      <c r="W29" s="16">
        <f t="shared" si="5"/>
        <v>9049537</v>
      </c>
      <c r="X29" s="16"/>
      <c r="Y29" s="16">
        <f t="shared" si="6"/>
        <v>227</v>
      </c>
      <c r="Z29" s="16">
        <f t="shared" si="7"/>
        <v>1363</v>
      </c>
      <c r="AA29" s="16">
        <f t="shared" si="8"/>
        <v>681</v>
      </c>
      <c r="AB29" s="16"/>
      <c r="AC29" s="16">
        <f t="shared" si="9"/>
        <v>10225</v>
      </c>
      <c r="AD29" s="16">
        <f t="shared" si="10"/>
        <v>251306</v>
      </c>
      <c r="AE29" s="16">
        <f t="shared" si="11"/>
        <v>9738469</v>
      </c>
      <c r="AF29" s="16"/>
      <c r="AG29" s="16">
        <f>ROUND(AC29*Desire_severe*(1-SUM($BA$5:$BC28)/Population),0)</f>
        <v>9819</v>
      </c>
      <c r="AH29" s="16">
        <f>ROUND(AD29*Desire_mild*(1-SUM($BA$5:$BC28)/Population),0)</f>
        <v>120665</v>
      </c>
      <c r="AI29" s="16">
        <f>ROUND(AE29*Desire_asy*(1-SUM($BA$5:$BC28)/Population),0)</f>
        <v>187037</v>
      </c>
      <c r="AJ29" s="16"/>
      <c r="AK29" s="16">
        <f t="shared" si="35"/>
        <v>25000</v>
      </c>
      <c r="AL29" s="16">
        <f t="shared" si="13"/>
        <v>18750</v>
      </c>
      <c r="AM29" s="16">
        <f t="shared" si="27"/>
        <v>6250</v>
      </c>
      <c r="AN29" s="16"/>
      <c r="AO29" s="16">
        <f t="shared" si="36"/>
        <v>9819</v>
      </c>
      <c r="AP29" s="16">
        <f t="shared" si="37"/>
        <v>8931</v>
      </c>
      <c r="AQ29" s="16">
        <f t="shared" si="28"/>
        <v>0</v>
      </c>
      <c r="AR29" s="16"/>
      <c r="AS29" s="16">
        <f t="shared" si="38"/>
        <v>0</v>
      </c>
      <c r="AT29" s="16">
        <f t="shared" si="38"/>
        <v>111734</v>
      </c>
      <c r="AU29" s="16">
        <f t="shared" si="38"/>
        <v>187037</v>
      </c>
      <c r="AV29" s="16"/>
      <c r="AW29" s="16">
        <f t="shared" si="29"/>
        <v>0</v>
      </c>
      <c r="AX29" s="16">
        <f t="shared" si="15"/>
        <v>2337</v>
      </c>
      <c r="AY29" s="16">
        <f t="shared" si="30"/>
        <v>3913</v>
      </c>
      <c r="AZ29" s="16"/>
      <c r="BA29" s="16">
        <f t="shared" si="31"/>
        <v>9819</v>
      </c>
      <c r="BB29" s="16">
        <f t="shared" si="31"/>
        <v>11268</v>
      </c>
      <c r="BC29" s="16">
        <f t="shared" si="31"/>
        <v>3913</v>
      </c>
      <c r="BD29" s="16"/>
      <c r="BE29" s="20">
        <f t="shared" si="32"/>
        <v>2.2200488997555012E-2</v>
      </c>
      <c r="BF29" s="20">
        <f t="shared" si="32"/>
        <v>5.4236667648205773E-3</v>
      </c>
      <c r="BG29" s="20">
        <f t="shared" si="32"/>
        <v>6.9928856373625047E-5</v>
      </c>
      <c r="BH29" s="16"/>
      <c r="BI29" s="16">
        <f t="shared" si="18"/>
        <v>193</v>
      </c>
      <c r="BJ29" s="16">
        <f t="shared" si="19"/>
        <v>71</v>
      </c>
      <c r="BK29" s="16">
        <f t="shared" si="20"/>
        <v>8</v>
      </c>
      <c r="BL29" s="16"/>
      <c r="BM29" s="16">
        <f t="shared" si="33"/>
        <v>272</v>
      </c>
      <c r="BN29" s="22">
        <f t="shared" si="39"/>
        <v>0.64916467780429599</v>
      </c>
      <c r="BO29" s="19">
        <f t="shared" si="40"/>
        <v>1.0880000000000001E-2</v>
      </c>
    </row>
    <row r="30" spans="1:67" s="9" customFormat="1" ht="13" customHeight="1" x14ac:dyDescent="0.15">
      <c r="A30" s="7" t="s">
        <v>3</v>
      </c>
      <c r="B30" s="8"/>
      <c r="D30" s="38">
        <f t="shared" si="34"/>
        <v>25</v>
      </c>
      <c r="E30" s="41">
        <f t="shared" si="21"/>
        <v>43956</v>
      </c>
      <c r="F30" s="16"/>
      <c r="G30" s="17">
        <f t="shared" si="22"/>
        <v>0.60233918128654973</v>
      </c>
      <c r="H30" s="40">
        <f t="shared" si="0"/>
        <v>4005.1244506790063</v>
      </c>
      <c r="I30" s="16">
        <f t="shared" si="23"/>
        <v>1368</v>
      </c>
      <c r="J30" s="16">
        <f>SUM(I$5:I30)</f>
        <v>951831</v>
      </c>
      <c r="K30" s="16"/>
      <c r="L30" s="18">
        <f t="shared" ca="1" si="24"/>
        <v>0.64916467780429599</v>
      </c>
      <c r="M30" s="40">
        <f t="shared" ca="1" si="1"/>
        <v>909.58893226042494</v>
      </c>
      <c r="N30" s="16">
        <f t="shared" ca="1" si="2"/>
        <v>419</v>
      </c>
      <c r="O30" s="16">
        <f ca="1">SUM(N$5:N30)</f>
        <v>71251</v>
      </c>
      <c r="P30" s="16"/>
      <c r="Q30" s="19">
        <f t="shared" ca="1" si="25"/>
        <v>7.4856776045327381E-2</v>
      </c>
      <c r="R30" s="16"/>
      <c r="S30" s="16">
        <f t="shared" ca="1" si="3"/>
        <v>25000</v>
      </c>
      <c r="T30" s="19">
        <f t="shared" ca="1" si="26"/>
        <v>1.6760000000000001E-2</v>
      </c>
      <c r="U30" s="35"/>
      <c r="V30" s="30">
        <f t="shared" si="4"/>
        <v>0.7</v>
      </c>
      <c r="W30" s="16">
        <f t="shared" si="5"/>
        <v>9048169</v>
      </c>
      <c r="X30" s="16"/>
      <c r="Y30" s="16">
        <f t="shared" si="6"/>
        <v>137</v>
      </c>
      <c r="Z30" s="16">
        <f t="shared" si="7"/>
        <v>821</v>
      </c>
      <c r="AA30" s="16">
        <f t="shared" si="8"/>
        <v>410</v>
      </c>
      <c r="AB30" s="16"/>
      <c r="AC30" s="16">
        <f t="shared" si="9"/>
        <v>10136</v>
      </c>
      <c r="AD30" s="16">
        <f t="shared" si="10"/>
        <v>250787</v>
      </c>
      <c r="AE30" s="16">
        <f t="shared" si="11"/>
        <v>9739077</v>
      </c>
      <c r="AF30" s="16"/>
      <c r="AG30" s="16">
        <f>ROUND(AC30*Desire_severe*(1-SUM($BA$5:$BC29)/Population),0)</f>
        <v>9708</v>
      </c>
      <c r="AH30" s="16">
        <f>ROUND(AD30*Desire_mild*(1-SUM($BA$5:$BC29)/Population),0)</f>
        <v>120102</v>
      </c>
      <c r="AI30" s="16">
        <f>ROUND(AE30*Desire_asy*(1-SUM($BA$5:$BC29)/Population),0)</f>
        <v>186562</v>
      </c>
      <c r="AJ30" s="16"/>
      <c r="AK30" s="16">
        <f t="shared" si="35"/>
        <v>25000</v>
      </c>
      <c r="AL30" s="16">
        <f t="shared" si="13"/>
        <v>18750</v>
      </c>
      <c r="AM30" s="16">
        <f t="shared" si="27"/>
        <v>6250</v>
      </c>
      <c r="AN30" s="16"/>
      <c r="AO30" s="16">
        <f t="shared" si="36"/>
        <v>9708</v>
      </c>
      <c r="AP30" s="16">
        <f t="shared" si="37"/>
        <v>9042</v>
      </c>
      <c r="AQ30" s="16">
        <f t="shared" si="28"/>
        <v>0</v>
      </c>
      <c r="AR30" s="16"/>
      <c r="AS30" s="16">
        <f t="shared" si="38"/>
        <v>0</v>
      </c>
      <c r="AT30" s="16">
        <f t="shared" si="38"/>
        <v>111060</v>
      </c>
      <c r="AU30" s="16">
        <f t="shared" si="38"/>
        <v>186562</v>
      </c>
      <c r="AV30" s="16"/>
      <c r="AW30" s="16">
        <f t="shared" si="29"/>
        <v>0</v>
      </c>
      <c r="AX30" s="16">
        <f t="shared" si="15"/>
        <v>2332</v>
      </c>
      <c r="AY30" s="16">
        <f t="shared" si="30"/>
        <v>3918</v>
      </c>
      <c r="AZ30" s="16"/>
      <c r="BA30" s="16">
        <f t="shared" si="31"/>
        <v>9708</v>
      </c>
      <c r="BB30" s="16">
        <f t="shared" si="31"/>
        <v>11374</v>
      </c>
      <c r="BC30" s="16">
        <f t="shared" si="31"/>
        <v>3918</v>
      </c>
      <c r="BD30" s="16"/>
      <c r="BE30" s="20">
        <f t="shared" si="32"/>
        <v>1.3516179952644041E-2</v>
      </c>
      <c r="BF30" s="20">
        <f t="shared" si="32"/>
        <v>3.2736944099973284E-3</v>
      </c>
      <c r="BG30" s="20">
        <f t="shared" si="32"/>
        <v>4.2098445263344772E-5</v>
      </c>
      <c r="BH30" s="16"/>
      <c r="BI30" s="16">
        <f t="shared" si="18"/>
        <v>124</v>
      </c>
      <c r="BJ30" s="16">
        <f t="shared" si="19"/>
        <v>53</v>
      </c>
      <c r="BK30" s="16">
        <f t="shared" si="20"/>
        <v>8</v>
      </c>
      <c r="BL30" s="16"/>
      <c r="BM30" s="16">
        <f t="shared" si="33"/>
        <v>185</v>
      </c>
      <c r="BN30" s="22">
        <f t="shared" si="39"/>
        <v>0.68014705882352944</v>
      </c>
      <c r="BO30" s="19">
        <f t="shared" si="40"/>
        <v>7.4000000000000003E-3</v>
      </c>
    </row>
    <row r="31" spans="1:67" s="9" customFormat="1" ht="13" customHeight="1" x14ac:dyDescent="0.15">
      <c r="A31" s="15" t="s">
        <v>51</v>
      </c>
      <c r="B31" s="25">
        <v>500</v>
      </c>
      <c r="D31" s="38">
        <f t="shared" si="34"/>
        <v>26</v>
      </c>
      <c r="E31" s="41">
        <f t="shared" si="21"/>
        <v>43961</v>
      </c>
      <c r="F31" s="16"/>
      <c r="G31" s="17">
        <f t="shared" si="22"/>
        <v>0.60194174757281549</v>
      </c>
      <c r="H31" s="40">
        <f t="shared" si="0"/>
        <v>6658.2864202056226</v>
      </c>
      <c r="I31" s="16">
        <f t="shared" si="23"/>
        <v>824</v>
      </c>
      <c r="J31" s="16">
        <f>SUM(I$5:I31)</f>
        <v>952655</v>
      </c>
      <c r="K31" s="16"/>
      <c r="L31" s="18">
        <f t="shared" ca="1" si="24"/>
        <v>0.68014705882352944</v>
      </c>
      <c r="M31" s="40">
        <f t="shared" ca="1" si="1"/>
        <v>1341.6230893197471</v>
      </c>
      <c r="N31" s="16">
        <f t="shared" ca="1" si="2"/>
        <v>272</v>
      </c>
      <c r="O31" s="16">
        <f ca="1">SUM(N$5:N31)</f>
        <v>71523</v>
      </c>
      <c r="P31" s="16"/>
      <c r="Q31" s="19">
        <f t="shared" ca="1" si="25"/>
        <v>7.507754643601304E-2</v>
      </c>
      <c r="R31" s="16"/>
      <c r="S31" s="16">
        <f t="shared" ca="1" si="3"/>
        <v>25000</v>
      </c>
      <c r="T31" s="19">
        <f t="shared" ca="1" si="26"/>
        <v>1.0880000000000001E-2</v>
      </c>
      <c r="U31" s="35"/>
      <c r="V31" s="30">
        <f t="shared" si="4"/>
        <v>0.7</v>
      </c>
      <c r="W31" s="16">
        <f t="shared" si="5"/>
        <v>9047345</v>
      </c>
      <c r="X31" s="16"/>
      <c r="Y31" s="16">
        <f t="shared" si="6"/>
        <v>82</v>
      </c>
      <c r="Z31" s="16">
        <f t="shared" si="7"/>
        <v>494</v>
      </c>
      <c r="AA31" s="16">
        <f t="shared" si="8"/>
        <v>248</v>
      </c>
      <c r="AB31" s="16"/>
      <c r="AC31" s="16">
        <f t="shared" si="9"/>
        <v>10081</v>
      </c>
      <c r="AD31" s="16">
        <f t="shared" si="10"/>
        <v>250473</v>
      </c>
      <c r="AE31" s="16">
        <f t="shared" si="11"/>
        <v>9739446</v>
      </c>
      <c r="AF31" s="16"/>
      <c r="AG31" s="16">
        <f>ROUND(AC31*Desire_severe*(1-SUM($BA$5:$BC30)/Population),0)</f>
        <v>9630</v>
      </c>
      <c r="AH31" s="16">
        <f>ROUND(AD31*Desire_mild*(1-SUM($BA$5:$BC30)/Population),0)</f>
        <v>119638</v>
      </c>
      <c r="AI31" s="16">
        <f>ROUND(AE31*Desire_asy*(1-SUM($BA$5:$BC30)/Population),0)</f>
        <v>186082</v>
      </c>
      <c r="AJ31" s="16"/>
      <c r="AK31" s="16">
        <f t="shared" si="35"/>
        <v>25000</v>
      </c>
      <c r="AL31" s="16">
        <f t="shared" si="13"/>
        <v>18750</v>
      </c>
      <c r="AM31" s="16">
        <f t="shared" si="27"/>
        <v>6250</v>
      </c>
      <c r="AN31" s="16"/>
      <c r="AO31" s="16">
        <f t="shared" si="36"/>
        <v>9630</v>
      </c>
      <c r="AP31" s="16">
        <f t="shared" si="37"/>
        <v>9120</v>
      </c>
      <c r="AQ31" s="16">
        <f t="shared" si="28"/>
        <v>0</v>
      </c>
      <c r="AR31" s="16"/>
      <c r="AS31" s="16">
        <f t="shared" si="38"/>
        <v>0</v>
      </c>
      <c r="AT31" s="16">
        <f t="shared" si="38"/>
        <v>110518</v>
      </c>
      <c r="AU31" s="16">
        <f t="shared" si="38"/>
        <v>186082</v>
      </c>
      <c r="AV31" s="16"/>
      <c r="AW31" s="16">
        <f t="shared" si="29"/>
        <v>0</v>
      </c>
      <c r="AX31" s="16">
        <f t="shared" si="15"/>
        <v>2329</v>
      </c>
      <c r="AY31" s="16">
        <f t="shared" si="30"/>
        <v>3921</v>
      </c>
      <c r="AZ31" s="16"/>
      <c r="BA31" s="16">
        <f t="shared" si="31"/>
        <v>9630</v>
      </c>
      <c r="BB31" s="16">
        <f t="shared" si="31"/>
        <v>11449</v>
      </c>
      <c r="BC31" s="16">
        <f t="shared" si="31"/>
        <v>3921</v>
      </c>
      <c r="BD31" s="16"/>
      <c r="BE31" s="20">
        <f t="shared" si="32"/>
        <v>8.1341136791984927E-3</v>
      </c>
      <c r="BF31" s="20">
        <f t="shared" si="32"/>
        <v>1.9722684680584333E-3</v>
      </c>
      <c r="BG31" s="20">
        <f t="shared" si="32"/>
        <v>2.5463460652690103E-5</v>
      </c>
      <c r="BH31" s="16"/>
      <c r="BI31" s="16">
        <f t="shared" si="18"/>
        <v>82</v>
      </c>
      <c r="BJ31" s="16">
        <f t="shared" si="19"/>
        <v>41</v>
      </c>
      <c r="BK31" s="16">
        <f t="shared" si="20"/>
        <v>8</v>
      </c>
      <c r="BL31" s="16"/>
      <c r="BM31" s="16">
        <f t="shared" si="33"/>
        <v>131</v>
      </c>
      <c r="BN31" s="22">
        <f t="shared" si="39"/>
        <v>0.70810810810810809</v>
      </c>
      <c r="BO31" s="19">
        <f t="shared" si="40"/>
        <v>5.2399999999999999E-3</v>
      </c>
    </row>
    <row r="32" spans="1:67" s="9" customFormat="1" ht="13" customHeight="1" x14ac:dyDescent="0.15">
      <c r="A32" s="15" t="s">
        <v>57</v>
      </c>
      <c r="B32" s="8">
        <v>6</v>
      </c>
      <c r="D32" s="38">
        <f t="shared" si="34"/>
        <v>27</v>
      </c>
      <c r="E32" s="41">
        <f t="shared" si="21"/>
        <v>43966</v>
      </c>
      <c r="F32" s="16"/>
      <c r="G32" s="17">
        <f t="shared" si="22"/>
        <v>0.60282258064516125</v>
      </c>
      <c r="H32" s="40">
        <f t="shared" si="0"/>
        <v>11049.791779003532</v>
      </c>
      <c r="I32" s="16">
        <f t="shared" si="23"/>
        <v>496</v>
      </c>
      <c r="J32" s="16">
        <f>SUM(I$5:I32)</f>
        <v>953151</v>
      </c>
      <c r="K32" s="16"/>
      <c r="L32" s="18">
        <f t="shared" ca="1" si="24"/>
        <v>0.70810810810810809</v>
      </c>
      <c r="M32" s="40">
        <f t="shared" ca="1" si="1"/>
        <v>1898.8391356105456</v>
      </c>
      <c r="N32" s="16">
        <f t="shared" ca="1" si="2"/>
        <v>185</v>
      </c>
      <c r="O32" s="16">
        <f ca="1">SUM(N$5:N32)</f>
        <v>71708</v>
      </c>
      <c r="P32" s="16"/>
      <c r="Q32" s="19">
        <f t="shared" ca="1" si="25"/>
        <v>7.5232570704956508E-2</v>
      </c>
      <c r="R32" s="16"/>
      <c r="S32" s="16">
        <f t="shared" ca="1" si="3"/>
        <v>25000</v>
      </c>
      <c r="T32" s="19">
        <f t="shared" ca="1" si="26"/>
        <v>7.4000000000000003E-3</v>
      </c>
      <c r="U32" s="35"/>
      <c r="V32" s="30">
        <f t="shared" si="4"/>
        <v>0.7</v>
      </c>
      <c r="W32" s="16">
        <f t="shared" si="5"/>
        <v>9046849</v>
      </c>
      <c r="X32" s="16"/>
      <c r="Y32" s="16">
        <f t="shared" si="6"/>
        <v>50</v>
      </c>
      <c r="Z32" s="16">
        <f t="shared" si="7"/>
        <v>298</v>
      </c>
      <c r="AA32" s="16">
        <f t="shared" si="8"/>
        <v>148</v>
      </c>
      <c r="AB32" s="16"/>
      <c r="AC32" s="16">
        <f t="shared" si="9"/>
        <v>10050</v>
      </c>
      <c r="AD32" s="16">
        <f t="shared" si="10"/>
        <v>250286</v>
      </c>
      <c r="AE32" s="16">
        <f t="shared" si="11"/>
        <v>9739664</v>
      </c>
      <c r="AF32" s="16"/>
      <c r="AG32" s="16">
        <f>ROUND(AC32*Desire_severe*(1-SUM($BA$5:$BC31)/Population),0)</f>
        <v>9576</v>
      </c>
      <c r="AH32" s="16">
        <f>ROUND(AD32*Desire_mild*(1-SUM($BA$5:$BC31)/Population),0)</f>
        <v>119236</v>
      </c>
      <c r="AI32" s="16">
        <f>ROUND(AE32*Desire_asy*(1-SUM($BA$5:$BC31)/Population),0)</f>
        <v>185599</v>
      </c>
      <c r="AJ32" s="16"/>
      <c r="AK32" s="16">
        <f t="shared" si="35"/>
        <v>25000</v>
      </c>
      <c r="AL32" s="16">
        <f t="shared" si="13"/>
        <v>18750</v>
      </c>
      <c r="AM32" s="16">
        <f t="shared" si="27"/>
        <v>6250</v>
      </c>
      <c r="AN32" s="16"/>
      <c r="AO32" s="16">
        <f t="shared" si="36"/>
        <v>9576</v>
      </c>
      <c r="AP32" s="16">
        <f t="shared" si="37"/>
        <v>9174</v>
      </c>
      <c r="AQ32" s="16">
        <f t="shared" si="28"/>
        <v>0</v>
      </c>
      <c r="AR32" s="16"/>
      <c r="AS32" s="16">
        <f t="shared" si="38"/>
        <v>0</v>
      </c>
      <c r="AT32" s="16">
        <f t="shared" si="38"/>
        <v>110062</v>
      </c>
      <c r="AU32" s="16">
        <f t="shared" si="38"/>
        <v>185599</v>
      </c>
      <c r="AV32" s="16"/>
      <c r="AW32" s="16">
        <f t="shared" si="29"/>
        <v>0</v>
      </c>
      <c r="AX32" s="16">
        <f t="shared" si="15"/>
        <v>2327</v>
      </c>
      <c r="AY32" s="16">
        <f t="shared" si="30"/>
        <v>3923</v>
      </c>
      <c r="AZ32" s="16"/>
      <c r="BA32" s="16">
        <f t="shared" si="31"/>
        <v>9576</v>
      </c>
      <c r="BB32" s="16">
        <f t="shared" si="31"/>
        <v>11501</v>
      </c>
      <c r="BC32" s="16">
        <f t="shared" si="31"/>
        <v>3923</v>
      </c>
      <c r="BD32" s="16"/>
      <c r="BE32" s="20">
        <f t="shared" si="32"/>
        <v>4.9751243781094526E-3</v>
      </c>
      <c r="BF32" s="20">
        <f t="shared" si="32"/>
        <v>1.1906379102306962E-3</v>
      </c>
      <c r="BG32" s="20">
        <f t="shared" si="32"/>
        <v>1.5195596069843889E-5</v>
      </c>
      <c r="BH32" s="16"/>
      <c r="BI32" s="16">
        <f t="shared" si="18"/>
        <v>57</v>
      </c>
      <c r="BJ32" s="16">
        <f t="shared" si="19"/>
        <v>34</v>
      </c>
      <c r="BK32" s="16">
        <f t="shared" si="20"/>
        <v>8</v>
      </c>
      <c r="BL32" s="16"/>
      <c r="BM32" s="16">
        <f t="shared" si="33"/>
        <v>99</v>
      </c>
      <c r="BN32" s="22">
        <f t="shared" si="39"/>
        <v>0.75572519083969469</v>
      </c>
      <c r="BO32" s="19">
        <f t="shared" si="40"/>
        <v>3.96E-3</v>
      </c>
    </row>
    <row r="33" spans="1:67" s="9" customFormat="1" ht="13" customHeight="1" x14ac:dyDescent="0.15">
      <c r="A33" s="15" t="s">
        <v>52</v>
      </c>
      <c r="B33" s="23">
        <v>2</v>
      </c>
      <c r="D33" s="38">
        <f t="shared" si="34"/>
        <v>28</v>
      </c>
      <c r="E33" s="41">
        <f t="shared" si="21"/>
        <v>43971</v>
      </c>
      <c r="F33" s="16"/>
      <c r="G33" s="17">
        <f t="shared" si="22"/>
        <v>0.60200668896321075</v>
      </c>
      <c r="H33" s="40">
        <f t="shared" si="0"/>
        <v>18359.543349681015</v>
      </c>
      <c r="I33" s="16">
        <f t="shared" si="23"/>
        <v>299</v>
      </c>
      <c r="J33" s="16">
        <f>SUM(I$5:I33)</f>
        <v>953450</v>
      </c>
      <c r="K33" s="16"/>
      <c r="L33" s="18">
        <f t="shared" ca="1" si="24"/>
        <v>0.75572519083969469</v>
      </c>
      <c r="M33" s="40">
        <f t="shared" ca="1" si="1"/>
        <v>2516.6314754846135</v>
      </c>
      <c r="N33" s="16">
        <f t="shared" ca="1" si="2"/>
        <v>131</v>
      </c>
      <c r="O33" s="16">
        <f ca="1">SUM(N$5:N33)</f>
        <v>71839</v>
      </c>
      <c r="P33" s="16"/>
      <c r="Q33" s="19">
        <f t="shared" ca="1" si="25"/>
        <v>7.5346373695526769E-2</v>
      </c>
      <c r="R33" s="16"/>
      <c r="S33" s="16">
        <f t="shared" ca="1" si="3"/>
        <v>25000</v>
      </c>
      <c r="T33" s="19">
        <f t="shared" ca="1" si="26"/>
        <v>5.2399999999999999E-3</v>
      </c>
      <c r="U33" s="35"/>
      <c r="V33" s="30">
        <f t="shared" si="4"/>
        <v>0.7</v>
      </c>
      <c r="W33" s="16">
        <f t="shared" si="5"/>
        <v>9046550</v>
      </c>
      <c r="X33" s="16"/>
      <c r="Y33" s="16">
        <f t="shared" si="6"/>
        <v>30</v>
      </c>
      <c r="Z33" s="16">
        <f t="shared" si="7"/>
        <v>179</v>
      </c>
      <c r="AA33" s="16">
        <f t="shared" si="8"/>
        <v>90</v>
      </c>
      <c r="AB33" s="16"/>
      <c r="AC33" s="16">
        <f t="shared" si="9"/>
        <v>10030</v>
      </c>
      <c r="AD33" s="16">
        <f t="shared" si="10"/>
        <v>250172</v>
      </c>
      <c r="AE33" s="16">
        <f t="shared" si="11"/>
        <v>9739798</v>
      </c>
      <c r="AF33" s="16"/>
      <c r="AG33" s="16">
        <f>ROUND(AC33*Desire_severe*(1-SUM($BA$5:$BC32)/Population),0)</f>
        <v>9532</v>
      </c>
      <c r="AH33" s="16">
        <f>ROUND(AD33*Desire_mild*(1-SUM($BA$5:$BC32)/Population),0)</f>
        <v>118869</v>
      </c>
      <c r="AI33" s="16">
        <f>ROUND(AE33*Desire_asy*(1-SUM($BA$5:$BC32)/Population),0)</f>
        <v>185115</v>
      </c>
      <c r="AJ33" s="16"/>
      <c r="AK33" s="16">
        <f t="shared" si="35"/>
        <v>25000</v>
      </c>
      <c r="AL33" s="16">
        <f t="shared" si="13"/>
        <v>18750</v>
      </c>
      <c r="AM33" s="16">
        <f t="shared" si="27"/>
        <v>6250</v>
      </c>
      <c r="AN33" s="16"/>
      <c r="AO33" s="16">
        <f t="shared" si="36"/>
        <v>9532</v>
      </c>
      <c r="AP33" s="16">
        <f t="shared" si="37"/>
        <v>9218</v>
      </c>
      <c r="AQ33" s="16">
        <f t="shared" si="28"/>
        <v>0</v>
      </c>
      <c r="AR33" s="16"/>
      <c r="AS33" s="16">
        <f t="shared" si="38"/>
        <v>0</v>
      </c>
      <c r="AT33" s="16">
        <f t="shared" si="38"/>
        <v>109651</v>
      </c>
      <c r="AU33" s="16">
        <f t="shared" si="38"/>
        <v>185115</v>
      </c>
      <c r="AV33" s="16"/>
      <c r="AW33" s="16">
        <f t="shared" si="29"/>
        <v>0</v>
      </c>
      <c r="AX33" s="16">
        <f t="shared" si="15"/>
        <v>2325</v>
      </c>
      <c r="AY33" s="16">
        <f t="shared" si="30"/>
        <v>3925</v>
      </c>
      <c r="AZ33" s="16"/>
      <c r="BA33" s="16">
        <f t="shared" si="31"/>
        <v>9532</v>
      </c>
      <c r="BB33" s="16">
        <f t="shared" si="31"/>
        <v>11543</v>
      </c>
      <c r="BC33" s="16">
        <f t="shared" si="31"/>
        <v>3925</v>
      </c>
      <c r="BD33" s="16"/>
      <c r="BE33" s="20">
        <f t="shared" si="32"/>
        <v>2.9910269192422734E-3</v>
      </c>
      <c r="BF33" s="20">
        <f t="shared" si="32"/>
        <v>7.1550773068129129E-4</v>
      </c>
      <c r="BG33" s="20">
        <f t="shared" si="32"/>
        <v>9.2404380460457184E-6</v>
      </c>
      <c r="BH33" s="16"/>
      <c r="BI33" s="16">
        <f t="shared" si="18"/>
        <v>42</v>
      </c>
      <c r="BJ33" s="16">
        <f t="shared" si="19"/>
        <v>30</v>
      </c>
      <c r="BK33" s="16">
        <f t="shared" si="20"/>
        <v>8</v>
      </c>
      <c r="BL33" s="16"/>
      <c r="BM33" s="16">
        <f t="shared" si="33"/>
        <v>80</v>
      </c>
      <c r="BN33" s="22">
        <f t="shared" si="39"/>
        <v>0.80808080808080807</v>
      </c>
      <c r="BO33" s="19">
        <f t="shared" si="40"/>
        <v>3.2000000000000002E-3</v>
      </c>
    </row>
    <row r="34" spans="1:67" s="9" customFormat="1" ht="13" customHeight="1" x14ac:dyDescent="0.15">
      <c r="A34" s="15" t="s">
        <v>53</v>
      </c>
      <c r="B34" s="25">
        <v>25000</v>
      </c>
      <c r="D34" s="38">
        <f t="shared" si="34"/>
        <v>29</v>
      </c>
      <c r="E34" s="41">
        <f t="shared" si="21"/>
        <v>43976</v>
      </c>
      <c r="F34" s="16"/>
      <c r="G34" s="17">
        <f t="shared" si="22"/>
        <v>0.6</v>
      </c>
      <c r="H34" s="40">
        <f t="shared" si="0"/>
        <v>30603.859955523189</v>
      </c>
      <c r="I34" s="16">
        <f t="shared" si="23"/>
        <v>180</v>
      </c>
      <c r="J34" s="16">
        <f>SUM(I$5:I34)</f>
        <v>953630</v>
      </c>
      <c r="K34" s="16"/>
      <c r="L34" s="18">
        <f t="shared" ca="1" si="24"/>
        <v>0.80808080808080807</v>
      </c>
      <c r="M34" s="40">
        <f t="shared" ca="1" si="1"/>
        <v>3118.2089141469578</v>
      </c>
      <c r="N34" s="16">
        <f t="shared" ca="1" si="2"/>
        <v>99</v>
      </c>
      <c r="O34" s="16">
        <f ca="1">SUM(N$5:N34)</f>
        <v>71938</v>
      </c>
      <c r="P34" s="16"/>
      <c r="Q34" s="19">
        <f t="shared" ca="1" si="25"/>
        <v>7.5435965730943869E-2</v>
      </c>
      <c r="R34" s="16"/>
      <c r="S34" s="16">
        <f t="shared" ca="1" si="3"/>
        <v>25000</v>
      </c>
      <c r="T34" s="19">
        <f t="shared" ca="1" si="26"/>
        <v>3.96E-3</v>
      </c>
      <c r="U34" s="35"/>
      <c r="V34" s="30">
        <f t="shared" si="4"/>
        <v>0.7</v>
      </c>
      <c r="W34" s="16">
        <f t="shared" si="5"/>
        <v>9046370</v>
      </c>
      <c r="X34" s="16"/>
      <c r="Y34" s="16">
        <f t="shared" si="6"/>
        <v>18</v>
      </c>
      <c r="Z34" s="16">
        <f t="shared" si="7"/>
        <v>108</v>
      </c>
      <c r="AA34" s="16">
        <f t="shared" si="8"/>
        <v>54</v>
      </c>
      <c r="AB34" s="16"/>
      <c r="AC34" s="16">
        <f t="shared" si="9"/>
        <v>10018</v>
      </c>
      <c r="AD34" s="16">
        <f t="shared" si="10"/>
        <v>250104</v>
      </c>
      <c r="AE34" s="16">
        <f t="shared" si="11"/>
        <v>9739878</v>
      </c>
      <c r="AF34" s="16"/>
      <c r="AG34" s="16">
        <f>ROUND(AC34*Desire_severe*(1-SUM($BA$5:$BC33)/Population),0)</f>
        <v>9495</v>
      </c>
      <c r="AH34" s="16">
        <f>ROUND(AD34*Desire_mild*(1-SUM($BA$5:$BC33)/Population),0)</f>
        <v>118524</v>
      </c>
      <c r="AI34" s="16">
        <f>ROUND(AE34*Desire_asy*(1-SUM($BA$5:$BC33)/Population),0)</f>
        <v>184629</v>
      </c>
      <c r="AJ34" s="16"/>
      <c r="AK34" s="16">
        <f t="shared" si="35"/>
        <v>25000</v>
      </c>
      <c r="AL34" s="16">
        <f t="shared" si="13"/>
        <v>18750</v>
      </c>
      <c r="AM34" s="16">
        <f t="shared" si="27"/>
        <v>6250</v>
      </c>
      <c r="AN34" s="16"/>
      <c r="AO34" s="16">
        <f t="shared" si="36"/>
        <v>9495</v>
      </c>
      <c r="AP34" s="16">
        <f t="shared" si="37"/>
        <v>9255</v>
      </c>
      <c r="AQ34" s="16">
        <f t="shared" si="28"/>
        <v>0</v>
      </c>
      <c r="AR34" s="16"/>
      <c r="AS34" s="16">
        <f t="shared" si="38"/>
        <v>0</v>
      </c>
      <c r="AT34" s="16">
        <f t="shared" si="38"/>
        <v>109269</v>
      </c>
      <c r="AU34" s="16">
        <f t="shared" si="38"/>
        <v>184629</v>
      </c>
      <c r="AV34" s="16"/>
      <c r="AW34" s="16">
        <f t="shared" si="29"/>
        <v>0</v>
      </c>
      <c r="AX34" s="16">
        <f t="shared" si="15"/>
        <v>2324</v>
      </c>
      <c r="AY34" s="16">
        <f t="shared" si="30"/>
        <v>3926</v>
      </c>
      <c r="AZ34" s="16"/>
      <c r="BA34" s="16">
        <f t="shared" si="31"/>
        <v>9495</v>
      </c>
      <c r="BB34" s="16">
        <f t="shared" si="31"/>
        <v>11579</v>
      </c>
      <c r="BC34" s="16">
        <f t="shared" si="31"/>
        <v>3926</v>
      </c>
      <c r="BD34" s="16"/>
      <c r="BE34" s="20">
        <f t="shared" si="32"/>
        <v>1.7967658215212617E-3</v>
      </c>
      <c r="BF34" s="20">
        <f t="shared" si="32"/>
        <v>4.318203627291047E-4</v>
      </c>
      <c r="BG34" s="20">
        <f t="shared" si="32"/>
        <v>5.544217288963989E-6</v>
      </c>
      <c r="BH34" s="16"/>
      <c r="BI34" s="16">
        <f t="shared" si="18"/>
        <v>33</v>
      </c>
      <c r="BJ34" s="16">
        <f t="shared" si="19"/>
        <v>27</v>
      </c>
      <c r="BK34" s="16">
        <f t="shared" si="20"/>
        <v>8</v>
      </c>
      <c r="BL34" s="16"/>
      <c r="BM34" s="16">
        <f t="shared" si="33"/>
        <v>68</v>
      </c>
      <c r="BN34" s="22">
        <f t="shared" si="39"/>
        <v>0.85</v>
      </c>
      <c r="BO34" s="19">
        <f t="shared" si="40"/>
        <v>2.7200000000000002E-3</v>
      </c>
    </row>
    <row r="35" spans="1:67" s="9" customFormat="1" ht="13" customHeight="1" x14ac:dyDescent="0.15">
      <c r="B35" s="8"/>
      <c r="D35" s="38">
        <f t="shared" si="34"/>
        <v>30</v>
      </c>
      <c r="E35" s="41">
        <f t="shared" si="21"/>
        <v>43981</v>
      </c>
      <c r="F35" s="16"/>
      <c r="G35" s="17">
        <f t="shared" si="22"/>
        <v>0.60185185185185186</v>
      </c>
      <c r="H35" s="40">
        <f t="shared" si="0"/>
        <v>50854.102516927887</v>
      </c>
      <c r="I35" s="16">
        <f t="shared" si="23"/>
        <v>108</v>
      </c>
      <c r="J35" s="16">
        <f>SUM(I$5:I35)</f>
        <v>953738</v>
      </c>
      <c r="K35" s="16"/>
      <c r="L35" s="18">
        <f t="shared" ca="1" si="24"/>
        <v>0.85</v>
      </c>
      <c r="M35" s="40">
        <f t="shared" ca="1" si="1"/>
        <v>3672.2527166737473</v>
      </c>
      <c r="N35" s="16">
        <f t="shared" ca="1" si="2"/>
        <v>80</v>
      </c>
      <c r="O35" s="16">
        <f ca="1">SUM(N$5:N35)</f>
        <v>72018</v>
      </c>
      <c r="P35" s="16"/>
      <c r="Q35" s="19">
        <f t="shared" ca="1" si="25"/>
        <v>7.5511303943011601E-2</v>
      </c>
      <c r="R35" s="16"/>
      <c r="S35" s="16">
        <f t="shared" ca="1" si="3"/>
        <v>25000</v>
      </c>
      <c r="T35" s="19">
        <f t="shared" ca="1" si="26"/>
        <v>3.2000000000000002E-3</v>
      </c>
      <c r="U35" s="35"/>
      <c r="V35" s="30">
        <f t="shared" si="4"/>
        <v>0.7</v>
      </c>
      <c r="W35" s="16">
        <f t="shared" si="5"/>
        <v>9046262</v>
      </c>
      <c r="X35" s="16"/>
      <c r="Y35" s="16">
        <f t="shared" si="6"/>
        <v>11</v>
      </c>
      <c r="Z35" s="16">
        <f t="shared" si="7"/>
        <v>65</v>
      </c>
      <c r="AA35" s="16">
        <f t="shared" si="8"/>
        <v>32</v>
      </c>
      <c r="AB35" s="16"/>
      <c r="AC35" s="16">
        <f t="shared" si="9"/>
        <v>10011</v>
      </c>
      <c r="AD35" s="16">
        <f t="shared" si="10"/>
        <v>250062</v>
      </c>
      <c r="AE35" s="16">
        <f t="shared" si="11"/>
        <v>9739927</v>
      </c>
      <c r="AF35" s="16"/>
      <c r="AG35" s="16">
        <f>ROUND(AC35*Desire_severe*(1-SUM($BA$5:$BC34)/Population),0)</f>
        <v>9463</v>
      </c>
      <c r="AH35" s="16">
        <f>ROUND(AD35*Desire_mild*(1-SUM($BA$5:$BC34)/Population),0)</f>
        <v>118192</v>
      </c>
      <c r="AI35" s="16">
        <f>ROUND(AE35*Desire_asy*(1-SUM($BA$5:$BC34)/Population),0)</f>
        <v>184143</v>
      </c>
      <c r="AJ35" s="16"/>
      <c r="AK35" s="16">
        <f t="shared" si="35"/>
        <v>25000</v>
      </c>
      <c r="AL35" s="16">
        <f t="shared" si="13"/>
        <v>18750</v>
      </c>
      <c r="AM35" s="16">
        <f t="shared" si="27"/>
        <v>6250</v>
      </c>
      <c r="AN35" s="16"/>
      <c r="AO35" s="16">
        <f t="shared" si="36"/>
        <v>9463</v>
      </c>
      <c r="AP35" s="16">
        <f t="shared" si="37"/>
        <v>9287</v>
      </c>
      <c r="AQ35" s="16">
        <f t="shared" si="28"/>
        <v>0</v>
      </c>
      <c r="AR35" s="16"/>
      <c r="AS35" s="16">
        <f t="shared" si="38"/>
        <v>0</v>
      </c>
      <c r="AT35" s="16">
        <f t="shared" si="38"/>
        <v>108905</v>
      </c>
      <c r="AU35" s="16">
        <f t="shared" si="38"/>
        <v>184143</v>
      </c>
      <c r="AV35" s="16"/>
      <c r="AW35" s="16">
        <f t="shared" si="29"/>
        <v>0</v>
      </c>
      <c r="AX35" s="16">
        <f t="shared" si="15"/>
        <v>2323</v>
      </c>
      <c r="AY35" s="16">
        <f t="shared" si="30"/>
        <v>3927</v>
      </c>
      <c r="AZ35" s="16"/>
      <c r="BA35" s="16">
        <f t="shared" si="31"/>
        <v>9463</v>
      </c>
      <c r="BB35" s="16">
        <f t="shared" si="31"/>
        <v>11610</v>
      </c>
      <c r="BC35" s="16">
        <f t="shared" si="31"/>
        <v>3927</v>
      </c>
      <c r="BD35" s="16"/>
      <c r="BE35" s="20">
        <f t="shared" si="32"/>
        <v>1.0987913295375088E-3</v>
      </c>
      <c r="BF35" s="20">
        <f t="shared" si="32"/>
        <v>2.5993553598707518E-4</v>
      </c>
      <c r="BG35" s="20">
        <f t="shared" si="32"/>
        <v>3.2854455685345486E-6</v>
      </c>
      <c r="BH35" s="16"/>
      <c r="BI35" s="16">
        <f t="shared" si="18"/>
        <v>27</v>
      </c>
      <c r="BJ35" s="16">
        <f t="shared" si="19"/>
        <v>25</v>
      </c>
      <c r="BK35" s="16">
        <f t="shared" si="20"/>
        <v>8</v>
      </c>
      <c r="BL35" s="16"/>
      <c r="BM35" s="16">
        <f t="shared" si="33"/>
        <v>60</v>
      </c>
      <c r="BN35" s="22">
        <f t="shared" si="39"/>
        <v>0.88235294117647056</v>
      </c>
      <c r="BO35" s="19">
        <f t="shared" si="40"/>
        <v>2.3999999999999998E-3</v>
      </c>
    </row>
    <row r="36" spans="1:67" s="9" customFormat="1" ht="13" customHeight="1" x14ac:dyDescent="0.15">
      <c r="A36" s="15" t="s">
        <v>20</v>
      </c>
      <c r="B36" s="23">
        <v>0.75</v>
      </c>
      <c r="D36" s="38">
        <f t="shared" si="34"/>
        <v>31</v>
      </c>
      <c r="E36" s="41">
        <f t="shared" si="21"/>
        <v>43986</v>
      </c>
      <c r="F36" s="16"/>
      <c r="G36" s="17">
        <f t="shared" si="22"/>
        <v>0.6</v>
      </c>
      <c r="H36" s="40">
        <f t="shared" si="0"/>
        <v>84761.45853061114</v>
      </c>
      <c r="I36" s="16">
        <f t="shared" si="23"/>
        <v>65</v>
      </c>
      <c r="J36" s="16">
        <f>SUM(I$5:I36)</f>
        <v>953803</v>
      </c>
      <c r="K36" s="16"/>
      <c r="L36" s="18">
        <f t="shared" ca="1" si="24"/>
        <v>0.88235294117647056</v>
      </c>
      <c r="M36" s="40">
        <f t="shared" ca="1" si="1"/>
        <v>4165.5832658158906</v>
      </c>
      <c r="N36" s="16">
        <f t="shared" ca="1" si="2"/>
        <v>68</v>
      </c>
      <c r="O36" s="16">
        <f ca="1">SUM(N$5:N36)</f>
        <v>72086</v>
      </c>
      <c r="P36" s="16"/>
      <c r="Q36" s="19">
        <f t="shared" ca="1" si="25"/>
        <v>7.5577451528250586E-2</v>
      </c>
      <c r="R36" s="16"/>
      <c r="S36" s="16">
        <f t="shared" ca="1" si="3"/>
        <v>25000</v>
      </c>
      <c r="T36" s="19">
        <f t="shared" ca="1" si="26"/>
        <v>2.7200000000000002E-3</v>
      </c>
      <c r="U36" s="35"/>
      <c r="V36" s="30">
        <f t="shared" si="4"/>
        <v>0.7</v>
      </c>
      <c r="W36" s="16">
        <f t="shared" si="5"/>
        <v>9046197</v>
      </c>
      <c r="X36" s="16"/>
      <c r="Y36" s="16">
        <f t="shared" si="6"/>
        <v>7</v>
      </c>
      <c r="Z36" s="16">
        <f t="shared" si="7"/>
        <v>39</v>
      </c>
      <c r="AA36" s="16">
        <f t="shared" si="8"/>
        <v>19</v>
      </c>
      <c r="AB36" s="16"/>
      <c r="AC36" s="16">
        <f t="shared" si="9"/>
        <v>10007</v>
      </c>
      <c r="AD36" s="16">
        <f t="shared" si="10"/>
        <v>250037</v>
      </c>
      <c r="AE36" s="16">
        <f t="shared" si="11"/>
        <v>9739956</v>
      </c>
      <c r="AF36" s="16"/>
      <c r="AG36" s="16">
        <f>ROUND(AC36*Desire_severe*(1-SUM($BA$5:$BC35)/Population),0)</f>
        <v>9435</v>
      </c>
      <c r="AH36" s="16">
        <f>ROUND(AD36*Desire_mild*(1-SUM($BA$5:$BC35)/Population),0)</f>
        <v>117867</v>
      </c>
      <c r="AI36" s="16">
        <f>ROUND(AE36*Desire_asy*(1-SUM($BA$5:$BC35)/Population),0)</f>
        <v>183657</v>
      </c>
      <c r="AJ36" s="16"/>
      <c r="AK36" s="16">
        <f t="shared" si="35"/>
        <v>25000</v>
      </c>
      <c r="AL36" s="16">
        <f t="shared" ref="AL36:AL40" si="41">ROUND(AK36*Rationed_tests,0)</f>
        <v>18750</v>
      </c>
      <c r="AM36" s="16">
        <f t="shared" si="27"/>
        <v>6250</v>
      </c>
      <c r="AN36" s="16"/>
      <c r="AO36" s="16">
        <f t="shared" si="36"/>
        <v>9435</v>
      </c>
      <c r="AP36" s="16">
        <f t="shared" si="37"/>
        <v>9315</v>
      </c>
      <c r="AQ36" s="16">
        <f t="shared" si="28"/>
        <v>0</v>
      </c>
      <c r="AR36" s="16"/>
      <c r="AS36" s="16">
        <f t="shared" ref="AS36:AU41" si="42">AG36-AO36</f>
        <v>0</v>
      </c>
      <c r="AT36" s="16">
        <f t="shared" si="42"/>
        <v>108552</v>
      </c>
      <c r="AU36" s="16">
        <f t="shared" si="42"/>
        <v>183657</v>
      </c>
      <c r="AV36" s="16"/>
      <c r="AW36" s="16">
        <f t="shared" si="29"/>
        <v>0</v>
      </c>
      <c r="AX36" s="16">
        <f t="shared" si="15"/>
        <v>2322</v>
      </c>
      <c r="AY36" s="16">
        <f t="shared" si="30"/>
        <v>3928</v>
      </c>
      <c r="AZ36" s="16"/>
      <c r="BA36" s="16">
        <f t="shared" ref="BA36:BC41" si="43">AW36+AO36</f>
        <v>9435</v>
      </c>
      <c r="BB36" s="16">
        <f t="shared" si="43"/>
        <v>11637</v>
      </c>
      <c r="BC36" s="16">
        <f t="shared" si="43"/>
        <v>3928</v>
      </c>
      <c r="BD36" s="16"/>
      <c r="BE36" s="20">
        <f t="shared" ref="BE36:BG41" si="44">Y36/AC36</f>
        <v>6.9951034276006792E-4</v>
      </c>
      <c r="BF36" s="20">
        <f t="shared" si="44"/>
        <v>1.5597691541651836E-4</v>
      </c>
      <c r="BG36" s="20">
        <f t="shared" si="44"/>
        <v>1.9507274981529689E-6</v>
      </c>
      <c r="BH36" s="16"/>
      <c r="BI36" s="16">
        <f t="shared" si="18"/>
        <v>24</v>
      </c>
      <c r="BJ36" s="16">
        <f t="shared" si="19"/>
        <v>24</v>
      </c>
      <c r="BK36" s="16">
        <f t="shared" si="20"/>
        <v>8</v>
      </c>
      <c r="BL36" s="16"/>
      <c r="BM36" s="16">
        <f t="shared" si="33"/>
        <v>56</v>
      </c>
      <c r="BN36" s="22">
        <f t="shared" si="39"/>
        <v>0.93333333333333335</v>
      </c>
      <c r="BO36" s="19">
        <f t="shared" ref="BO36:BO41" si="45">BM36/SUM(BA36:BC36)</f>
        <v>2.2399999999999998E-3</v>
      </c>
    </row>
    <row r="37" spans="1:67" s="9" customFormat="1" ht="13" customHeight="1" x14ac:dyDescent="0.15">
      <c r="B37" s="8"/>
      <c r="D37" s="38">
        <f t="shared" si="34"/>
        <v>32</v>
      </c>
      <c r="E37" s="41">
        <f t="shared" si="21"/>
        <v>43991</v>
      </c>
      <c r="F37" s="16"/>
      <c r="G37" s="17">
        <f t="shared" si="22"/>
        <v>0.58974358974358976</v>
      </c>
      <c r="H37" s="40">
        <f t="shared" si="0"/>
        <v>143730.62264316581</v>
      </c>
      <c r="I37" s="16">
        <f t="shared" si="23"/>
        <v>39</v>
      </c>
      <c r="J37" s="16">
        <f>SUM(I$5:I37)</f>
        <v>953842</v>
      </c>
      <c r="K37" s="16"/>
      <c r="L37" s="18">
        <f t="shared" ca="1" si="24"/>
        <v>0.93333333333333335</v>
      </c>
      <c r="M37" s="40">
        <f t="shared" ca="1" si="1"/>
        <v>4466.7144732083343</v>
      </c>
      <c r="N37" s="16">
        <f t="shared" ca="1" si="2"/>
        <v>60</v>
      </c>
      <c r="O37" s="16">
        <f ca="1">SUM(N$5:N37)</f>
        <v>72146</v>
      </c>
      <c r="P37" s="16"/>
      <c r="Q37" s="19">
        <f t="shared" ca="1" si="25"/>
        <v>7.5637264871959931E-2</v>
      </c>
      <c r="R37" s="16"/>
      <c r="S37" s="16">
        <f t="shared" ca="1" si="3"/>
        <v>25000</v>
      </c>
      <c r="T37" s="19">
        <f t="shared" ca="1" si="26"/>
        <v>2.3999999999999998E-3</v>
      </c>
      <c r="U37" s="35"/>
      <c r="V37" s="30">
        <f t="shared" si="4"/>
        <v>0.7</v>
      </c>
      <c r="W37" s="16">
        <f t="shared" si="5"/>
        <v>9046158</v>
      </c>
      <c r="X37" s="16"/>
      <c r="Y37" s="16">
        <f t="shared" si="6"/>
        <v>4</v>
      </c>
      <c r="Z37" s="16">
        <f t="shared" si="7"/>
        <v>23</v>
      </c>
      <c r="AA37" s="16">
        <f t="shared" si="8"/>
        <v>12</v>
      </c>
      <c r="AB37" s="16"/>
      <c r="AC37" s="16">
        <f t="shared" si="9"/>
        <v>10004</v>
      </c>
      <c r="AD37" s="16">
        <f t="shared" si="10"/>
        <v>250022</v>
      </c>
      <c r="AE37" s="16">
        <f t="shared" si="11"/>
        <v>9739974</v>
      </c>
      <c r="AF37" s="16"/>
      <c r="AG37" s="16">
        <f>ROUND(AC37*Desire_severe*(1-SUM($BA$5:$BC36)/Population),0)</f>
        <v>9407</v>
      </c>
      <c r="AH37" s="16">
        <f>ROUND(AD37*Desire_mild*(1-SUM($BA$5:$BC36)/Population),0)</f>
        <v>117548</v>
      </c>
      <c r="AI37" s="16">
        <f>ROUND(AE37*Desire_asy*(1-SUM($BA$5:$BC36)/Population),0)</f>
        <v>183170</v>
      </c>
      <c r="AJ37" s="16"/>
      <c r="AK37" s="16">
        <f t="shared" si="35"/>
        <v>25000</v>
      </c>
      <c r="AL37" s="16">
        <f t="shared" si="41"/>
        <v>18750</v>
      </c>
      <c r="AM37" s="16">
        <f t="shared" si="27"/>
        <v>6250</v>
      </c>
      <c r="AN37" s="16"/>
      <c r="AO37" s="16">
        <f t="shared" si="36"/>
        <v>9407</v>
      </c>
      <c r="AP37" s="16">
        <f t="shared" si="37"/>
        <v>9343</v>
      </c>
      <c r="AQ37" s="16">
        <f t="shared" si="28"/>
        <v>0</v>
      </c>
      <c r="AR37" s="16"/>
      <c r="AS37" s="16">
        <f t="shared" si="42"/>
        <v>0</v>
      </c>
      <c r="AT37" s="16">
        <f t="shared" si="42"/>
        <v>108205</v>
      </c>
      <c r="AU37" s="16">
        <f t="shared" si="42"/>
        <v>183170</v>
      </c>
      <c r="AV37" s="16"/>
      <c r="AW37" s="16">
        <f t="shared" si="29"/>
        <v>0</v>
      </c>
      <c r="AX37" s="16">
        <f t="shared" si="15"/>
        <v>2321</v>
      </c>
      <c r="AY37" s="16">
        <f t="shared" si="30"/>
        <v>3929</v>
      </c>
      <c r="AZ37" s="16"/>
      <c r="BA37" s="16">
        <f t="shared" si="43"/>
        <v>9407</v>
      </c>
      <c r="BB37" s="16">
        <f t="shared" si="43"/>
        <v>11664</v>
      </c>
      <c r="BC37" s="16">
        <f t="shared" si="43"/>
        <v>3929</v>
      </c>
      <c r="BD37" s="16"/>
      <c r="BE37" s="20">
        <f t="shared" si="44"/>
        <v>3.9984006397441024E-4</v>
      </c>
      <c r="BF37" s="20">
        <f t="shared" si="44"/>
        <v>9.199190471238531E-5</v>
      </c>
      <c r="BG37" s="20">
        <f t="shared" si="44"/>
        <v>1.2320361430122915E-6</v>
      </c>
      <c r="BH37" s="16"/>
      <c r="BI37" s="16">
        <f t="shared" si="18"/>
        <v>22</v>
      </c>
      <c r="BJ37" s="16">
        <f t="shared" si="19"/>
        <v>24</v>
      </c>
      <c r="BK37" s="16">
        <f t="shared" si="20"/>
        <v>8</v>
      </c>
      <c r="BL37" s="16"/>
      <c r="BM37" s="16">
        <f t="shared" si="33"/>
        <v>54</v>
      </c>
      <c r="BN37" s="22">
        <f t="shared" si="39"/>
        <v>0.9642857142857143</v>
      </c>
      <c r="BO37" s="19">
        <f t="shared" si="45"/>
        <v>2.16E-3</v>
      </c>
    </row>
    <row r="38" spans="1:67" s="9" customFormat="1" ht="13" customHeight="1" x14ac:dyDescent="0.15">
      <c r="A38" s="15" t="s">
        <v>4</v>
      </c>
      <c r="B38" s="26">
        <v>0.2</v>
      </c>
      <c r="C38" s="26"/>
      <c r="D38" s="38">
        <f t="shared" si="34"/>
        <v>33</v>
      </c>
      <c r="E38" s="41">
        <f t="shared" si="21"/>
        <v>43996</v>
      </c>
      <c r="F38" s="16"/>
      <c r="G38" s="17">
        <f t="shared" si="22"/>
        <v>0.60869565217391308</v>
      </c>
      <c r="H38" s="40">
        <f t="shared" si="0"/>
        <v>236133.45978628905</v>
      </c>
      <c r="I38" s="16">
        <f t="shared" si="23"/>
        <v>23</v>
      </c>
      <c r="J38" s="16">
        <f>SUM(I$5:I38)</f>
        <v>953865</v>
      </c>
      <c r="K38" s="16"/>
      <c r="L38" s="18">
        <f t="shared" ca="1" si="24"/>
        <v>0.9642857142857143</v>
      </c>
      <c r="M38" s="40">
        <f t="shared" ca="1" si="1"/>
        <v>4635.6782752511199</v>
      </c>
      <c r="N38" s="16">
        <f t="shared" ca="1" si="2"/>
        <v>56</v>
      </c>
      <c r="O38" s="16">
        <f ca="1">SUM(N$5:N38)</f>
        <v>72202</v>
      </c>
      <c r="P38" s="16"/>
      <c r="Q38" s="19">
        <f t="shared" ca="1" si="25"/>
        <v>7.5694149591399196E-2</v>
      </c>
      <c r="R38" s="16"/>
      <c r="S38" s="16">
        <f t="shared" ca="1" si="3"/>
        <v>25000</v>
      </c>
      <c r="T38" s="19">
        <f t="shared" ca="1" si="26"/>
        <v>2.2399999999999998E-3</v>
      </c>
      <c r="U38" s="35"/>
      <c r="V38" s="30">
        <f t="shared" si="4"/>
        <v>0.7</v>
      </c>
      <c r="W38" s="16">
        <f t="shared" si="5"/>
        <v>9046135</v>
      </c>
      <c r="X38" s="16"/>
      <c r="Y38" s="16">
        <f t="shared" si="6"/>
        <v>2</v>
      </c>
      <c r="Z38" s="16">
        <f t="shared" si="7"/>
        <v>14</v>
      </c>
      <c r="AA38" s="16">
        <f t="shared" si="8"/>
        <v>7</v>
      </c>
      <c r="AB38" s="16"/>
      <c r="AC38" s="16">
        <f t="shared" si="9"/>
        <v>10002</v>
      </c>
      <c r="AD38" s="16">
        <f t="shared" si="10"/>
        <v>250013</v>
      </c>
      <c r="AE38" s="16">
        <f t="shared" si="11"/>
        <v>9739985</v>
      </c>
      <c r="AF38" s="16"/>
      <c r="AG38" s="16">
        <f>ROUND(AC38*Desire_severe*(1-SUM($BA$5:$BC37)/Population),0)</f>
        <v>9380</v>
      </c>
      <c r="AH38" s="16">
        <f>ROUND(AD38*Desire_mild*(1-SUM($BA$5:$BC37)/Population),0)</f>
        <v>117231</v>
      </c>
      <c r="AI38" s="16">
        <f>ROUND(AE38*Desire_asy*(1-SUM($BA$5:$BC37)/Population),0)</f>
        <v>182683</v>
      </c>
      <c r="AJ38" s="16"/>
      <c r="AK38" s="16">
        <f t="shared" si="35"/>
        <v>25000</v>
      </c>
      <c r="AL38" s="16">
        <f t="shared" si="41"/>
        <v>18750</v>
      </c>
      <c r="AM38" s="16">
        <f t="shared" si="27"/>
        <v>6250</v>
      </c>
      <c r="AN38" s="16"/>
      <c r="AO38" s="16">
        <f t="shared" si="36"/>
        <v>9380</v>
      </c>
      <c r="AP38" s="16">
        <f t="shared" si="37"/>
        <v>9370</v>
      </c>
      <c r="AQ38" s="16">
        <f t="shared" si="28"/>
        <v>0</v>
      </c>
      <c r="AR38" s="16"/>
      <c r="AS38" s="16">
        <f t="shared" si="42"/>
        <v>0</v>
      </c>
      <c r="AT38" s="16">
        <f t="shared" si="42"/>
        <v>107861</v>
      </c>
      <c r="AU38" s="16">
        <f t="shared" si="42"/>
        <v>182683</v>
      </c>
      <c r="AV38" s="16"/>
      <c r="AW38" s="16">
        <f t="shared" si="29"/>
        <v>0</v>
      </c>
      <c r="AX38" s="16">
        <f t="shared" si="15"/>
        <v>2320</v>
      </c>
      <c r="AY38" s="16">
        <f t="shared" si="30"/>
        <v>3930</v>
      </c>
      <c r="AZ38" s="16"/>
      <c r="BA38" s="16">
        <f t="shared" si="43"/>
        <v>9380</v>
      </c>
      <c r="BB38" s="16">
        <f t="shared" si="43"/>
        <v>11690</v>
      </c>
      <c r="BC38" s="16">
        <f t="shared" si="43"/>
        <v>3930</v>
      </c>
      <c r="BD38" s="16"/>
      <c r="BE38" s="20">
        <f t="shared" si="44"/>
        <v>1.9996000799840031E-4</v>
      </c>
      <c r="BF38" s="20">
        <f t="shared" si="44"/>
        <v>5.5997088151416125E-5</v>
      </c>
      <c r="BG38" s="20">
        <f t="shared" si="44"/>
        <v>7.1868693842957662E-7</v>
      </c>
      <c r="BH38" s="16"/>
      <c r="BI38" s="16">
        <f t="shared" si="18"/>
        <v>21</v>
      </c>
      <c r="BJ38" s="16">
        <f t="shared" si="19"/>
        <v>24</v>
      </c>
      <c r="BK38" s="16">
        <f t="shared" si="20"/>
        <v>8</v>
      </c>
      <c r="BL38" s="16"/>
      <c r="BM38" s="16">
        <f t="shared" si="33"/>
        <v>53</v>
      </c>
      <c r="BN38" s="22">
        <f t="shared" si="39"/>
        <v>0.98148148148148151</v>
      </c>
      <c r="BO38" s="19">
        <f t="shared" si="45"/>
        <v>2.1199999999999999E-3</v>
      </c>
    </row>
    <row r="39" spans="1:67" s="9" customFormat="1" ht="13" customHeight="1" x14ac:dyDescent="0.15">
      <c r="A39" s="15" t="s">
        <v>5</v>
      </c>
      <c r="B39" s="26">
        <v>2E-3</v>
      </c>
      <c r="C39" s="26"/>
      <c r="D39" s="38">
        <f t="shared" si="34"/>
        <v>34</v>
      </c>
      <c r="E39" s="41">
        <f t="shared" si="21"/>
        <v>44001</v>
      </c>
      <c r="F39" s="16"/>
      <c r="G39" s="17">
        <f t="shared" si="22"/>
        <v>0.5714285714285714</v>
      </c>
      <c r="H39" s="40">
        <f t="shared" si="0"/>
        <v>413238.32002252806</v>
      </c>
      <c r="I39" s="16">
        <f t="shared" si="23"/>
        <v>14</v>
      </c>
      <c r="J39" s="16">
        <f>SUM(I$5:I39)</f>
        <v>953879</v>
      </c>
      <c r="K39" s="16"/>
      <c r="L39" s="18">
        <f t="shared" ca="1" si="24"/>
        <v>0.98148148148148151</v>
      </c>
      <c r="M39" s="40">
        <f t="shared" ca="1" si="1"/>
        <v>4726.6423428397238</v>
      </c>
      <c r="N39" s="16">
        <f t="shared" ca="1" si="2"/>
        <v>54</v>
      </c>
      <c r="O39" s="16">
        <f ca="1">SUM(N$5:N39)</f>
        <v>72256</v>
      </c>
      <c r="P39" s="16"/>
      <c r="Q39" s="19">
        <f t="shared" ca="1" si="25"/>
        <v>7.5749649588679482E-2</v>
      </c>
      <c r="R39" s="16"/>
      <c r="S39" s="16">
        <f t="shared" ca="1" si="3"/>
        <v>25000</v>
      </c>
      <c r="T39" s="19">
        <f t="shared" ca="1" si="26"/>
        <v>2.16E-3</v>
      </c>
      <c r="U39" s="35"/>
      <c r="V39" s="30">
        <f t="shared" si="4"/>
        <v>0.7</v>
      </c>
      <c r="W39" s="16">
        <f t="shared" si="5"/>
        <v>9046121</v>
      </c>
      <c r="X39" s="16"/>
      <c r="Y39" s="16">
        <f t="shared" si="6"/>
        <v>1</v>
      </c>
      <c r="Z39" s="16">
        <f t="shared" si="7"/>
        <v>8</v>
      </c>
      <c r="AA39" s="16">
        <f t="shared" si="8"/>
        <v>5</v>
      </c>
      <c r="AB39" s="16"/>
      <c r="AC39" s="16">
        <f t="shared" si="9"/>
        <v>10001</v>
      </c>
      <c r="AD39" s="16">
        <f t="shared" si="10"/>
        <v>250008</v>
      </c>
      <c r="AE39" s="16">
        <f t="shared" si="11"/>
        <v>9739991</v>
      </c>
      <c r="AF39" s="16"/>
      <c r="AG39" s="16">
        <f>ROUND(AC39*Desire_severe*(1-SUM($BA$5:$BC38)/Population),0)</f>
        <v>9354</v>
      </c>
      <c r="AH39" s="16">
        <f>ROUND(AD39*Desire_mild*(1-SUM($BA$5:$BC38)/Population),0)</f>
        <v>116916</v>
      </c>
      <c r="AI39" s="16">
        <f>ROUND(AE39*Desire_asy*(1-SUM($BA$5:$BC38)/Population),0)</f>
        <v>182196</v>
      </c>
      <c r="AJ39" s="16"/>
      <c r="AK39" s="16">
        <f t="shared" si="35"/>
        <v>25000</v>
      </c>
      <c r="AL39" s="16">
        <f t="shared" si="41"/>
        <v>18750</v>
      </c>
      <c r="AM39" s="16">
        <f t="shared" si="27"/>
        <v>6250</v>
      </c>
      <c r="AN39" s="16"/>
      <c r="AO39" s="16">
        <f t="shared" si="36"/>
        <v>9354</v>
      </c>
      <c r="AP39" s="16">
        <f t="shared" si="37"/>
        <v>9396</v>
      </c>
      <c r="AQ39" s="16">
        <f t="shared" si="28"/>
        <v>0</v>
      </c>
      <c r="AR39" s="16"/>
      <c r="AS39" s="16">
        <f t="shared" si="42"/>
        <v>0</v>
      </c>
      <c r="AT39" s="16">
        <f t="shared" si="42"/>
        <v>107520</v>
      </c>
      <c r="AU39" s="16">
        <f t="shared" si="42"/>
        <v>182196</v>
      </c>
      <c r="AV39" s="16"/>
      <c r="AW39" s="16">
        <f t="shared" si="29"/>
        <v>0</v>
      </c>
      <c r="AX39" s="16">
        <f t="shared" si="15"/>
        <v>2320</v>
      </c>
      <c r="AY39" s="16">
        <f t="shared" si="30"/>
        <v>3930</v>
      </c>
      <c r="AZ39" s="16"/>
      <c r="BA39" s="16">
        <f t="shared" si="43"/>
        <v>9354</v>
      </c>
      <c r="BB39" s="16">
        <f t="shared" si="43"/>
        <v>11716</v>
      </c>
      <c r="BC39" s="16">
        <f t="shared" si="43"/>
        <v>3930</v>
      </c>
      <c r="BD39" s="16"/>
      <c r="BE39" s="20">
        <f t="shared" si="44"/>
        <v>9.9990000999900015E-5</v>
      </c>
      <c r="BF39" s="20">
        <f t="shared" si="44"/>
        <v>3.1998976032766952E-5</v>
      </c>
      <c r="BG39" s="20">
        <f t="shared" si="44"/>
        <v>5.1334749693300536E-7</v>
      </c>
      <c r="BH39" s="16"/>
      <c r="BI39" s="16">
        <f t="shared" si="18"/>
        <v>20</v>
      </c>
      <c r="BJ39" s="16">
        <f t="shared" si="19"/>
        <v>23</v>
      </c>
      <c r="BK39" s="16">
        <f t="shared" si="20"/>
        <v>8</v>
      </c>
      <c r="BL39" s="16"/>
      <c r="BM39" s="16">
        <f t="shared" si="33"/>
        <v>51</v>
      </c>
      <c r="BN39" s="22">
        <f t="shared" si="39"/>
        <v>0.96226415094339623</v>
      </c>
      <c r="BO39" s="19">
        <f t="shared" si="45"/>
        <v>2.0400000000000001E-3</v>
      </c>
    </row>
    <row r="40" spans="1:67" s="9" customFormat="1" ht="13" customHeight="1" x14ac:dyDescent="0.15">
      <c r="B40" s="8"/>
      <c r="D40" s="38">
        <f t="shared" si="34"/>
        <v>35</v>
      </c>
      <c r="E40" s="41">
        <f t="shared" si="21"/>
        <v>44006</v>
      </c>
      <c r="F40" s="16"/>
      <c r="G40" s="17" t="str">
        <f t="shared" si="22"/>
        <v/>
      </c>
      <c r="H40" s="40">
        <f t="shared" si="0"/>
        <v>661185.8174810491</v>
      </c>
      <c r="I40" s="16">
        <f t="shared" si="23"/>
        <v>8</v>
      </c>
      <c r="J40" s="16">
        <f>SUM(I$5:I40)</f>
        <v>953887</v>
      </c>
      <c r="K40" s="16"/>
      <c r="L40" s="18">
        <f t="shared" ca="1" si="24"/>
        <v>0.96226415094339623</v>
      </c>
      <c r="M40" s="40">
        <f t="shared" ca="1" si="1"/>
        <v>4915.5345740390103</v>
      </c>
      <c r="N40" s="16">
        <f t="shared" ca="1" si="2"/>
        <v>53</v>
      </c>
      <c r="O40" s="16">
        <f ca="1">SUM(N$5:N40)</f>
        <v>72309</v>
      </c>
      <c r="P40" s="16"/>
      <c r="Q40" s="19">
        <f t="shared" ca="1" si="25"/>
        <v>7.5804576433057588E-2</v>
      </c>
      <c r="R40" s="16"/>
      <c r="S40" s="16">
        <f t="shared" ca="1" si="3"/>
        <v>25000</v>
      </c>
      <c r="T40" s="19">
        <f t="shared" ca="1" si="26"/>
        <v>2.1199999999999999E-3</v>
      </c>
      <c r="U40" s="35"/>
      <c r="V40" s="30">
        <f t="shared" si="4"/>
        <v>0.7</v>
      </c>
      <c r="W40" s="16">
        <f t="shared" si="5"/>
        <v>9046113</v>
      </c>
      <c r="X40" s="16"/>
      <c r="Y40" s="16">
        <f t="shared" si="6"/>
        <v>1</v>
      </c>
      <c r="Z40" s="16">
        <f t="shared" si="7"/>
        <v>5</v>
      </c>
      <c r="AA40" s="16">
        <f t="shared" si="8"/>
        <v>2</v>
      </c>
      <c r="AB40" s="16"/>
      <c r="AC40" s="16">
        <f t="shared" si="9"/>
        <v>10001</v>
      </c>
      <c r="AD40" s="16">
        <f t="shared" si="10"/>
        <v>250005</v>
      </c>
      <c r="AE40" s="16">
        <f t="shared" si="11"/>
        <v>9739994</v>
      </c>
      <c r="AF40" s="16"/>
      <c r="AG40" s="16">
        <f>ROUND(AC40*Desire_severe*(1-SUM($BA$5:$BC39)/Population),0)</f>
        <v>9329</v>
      </c>
      <c r="AH40" s="16">
        <f>ROUND(AD40*Desire_mild*(1-SUM($BA$5:$BC39)/Population),0)</f>
        <v>116602</v>
      </c>
      <c r="AI40" s="16">
        <f>ROUND(AE40*Desire_asy*(1-SUM($BA$5:$BC39)/Population),0)</f>
        <v>181709</v>
      </c>
      <c r="AJ40" s="16"/>
      <c r="AK40" s="16">
        <f t="shared" si="35"/>
        <v>25000</v>
      </c>
      <c r="AL40" s="16">
        <f t="shared" si="41"/>
        <v>18750</v>
      </c>
      <c r="AM40" s="16">
        <f t="shared" si="27"/>
        <v>6250</v>
      </c>
      <c r="AN40" s="16"/>
      <c r="AO40" s="16">
        <f t="shared" si="36"/>
        <v>9329</v>
      </c>
      <c r="AP40" s="16">
        <f t="shared" si="37"/>
        <v>9421</v>
      </c>
      <c r="AQ40" s="16">
        <f t="shared" si="28"/>
        <v>0</v>
      </c>
      <c r="AR40" s="16"/>
      <c r="AS40" s="16">
        <f t="shared" si="42"/>
        <v>0</v>
      </c>
      <c r="AT40" s="16">
        <f t="shared" si="42"/>
        <v>107181</v>
      </c>
      <c r="AU40" s="16">
        <f t="shared" si="42"/>
        <v>181709</v>
      </c>
      <c r="AV40" s="16"/>
      <c r="AW40" s="16">
        <f t="shared" si="29"/>
        <v>0</v>
      </c>
      <c r="AX40" s="16">
        <f t="shared" si="15"/>
        <v>2319</v>
      </c>
      <c r="AY40" s="16">
        <f t="shared" si="30"/>
        <v>3931</v>
      </c>
      <c r="AZ40" s="16"/>
      <c r="BA40" s="16">
        <f t="shared" si="43"/>
        <v>9329</v>
      </c>
      <c r="BB40" s="16">
        <f t="shared" si="43"/>
        <v>11740</v>
      </c>
      <c r="BC40" s="16">
        <f t="shared" si="43"/>
        <v>3931</v>
      </c>
      <c r="BD40" s="16"/>
      <c r="BE40" s="20">
        <f t="shared" si="44"/>
        <v>9.9990000999900015E-5</v>
      </c>
      <c r="BF40" s="20">
        <f t="shared" si="44"/>
        <v>1.9999600007999841E-5</v>
      </c>
      <c r="BG40" s="20">
        <f t="shared" si="44"/>
        <v>2.0533893552706502E-7</v>
      </c>
      <c r="BH40" s="16"/>
      <c r="BI40" s="16">
        <f t="shared" si="18"/>
        <v>20</v>
      </c>
      <c r="BJ40" s="16">
        <f t="shared" si="19"/>
        <v>23</v>
      </c>
      <c r="BK40" s="16">
        <f t="shared" si="20"/>
        <v>8</v>
      </c>
      <c r="BL40" s="16"/>
      <c r="BM40" s="16">
        <f t="shared" si="33"/>
        <v>51</v>
      </c>
      <c r="BN40" s="22">
        <f t="shared" si="39"/>
        <v>1</v>
      </c>
      <c r="BO40" s="19">
        <f t="shared" si="45"/>
        <v>2.0400000000000001E-3</v>
      </c>
    </row>
    <row r="41" spans="1:67" s="9" customFormat="1" ht="13" customHeight="1" x14ac:dyDescent="0.15">
      <c r="A41" s="15" t="s">
        <v>54</v>
      </c>
      <c r="B41" s="8">
        <v>2</v>
      </c>
      <c r="D41" s="38">
        <f t="shared" si="34"/>
        <v>36</v>
      </c>
      <c r="E41" s="41">
        <f t="shared" si="21"/>
        <v>44011</v>
      </c>
      <c r="F41" s="16"/>
      <c r="G41" s="17" t="str">
        <f t="shared" si="22"/>
        <v/>
      </c>
      <c r="H41" s="40" t="str">
        <f t="shared" si="0"/>
        <v/>
      </c>
      <c r="I41" s="16">
        <f t="shared" si="23"/>
        <v>5</v>
      </c>
      <c r="J41" s="16">
        <f>SUM(I$5:I41)</f>
        <v>953892</v>
      </c>
      <c r="K41" s="16"/>
      <c r="L41" s="18" t="str">
        <f t="shared" ca="1" si="24"/>
        <v/>
      </c>
      <c r="M41" s="40"/>
      <c r="N41" s="16">
        <f t="shared" ref="N41" ca="1" si="46">IF(ISERROR(OFFSET(BM41,-Delay,0)*1),0,OFFSET(BM41,-Delay,0))</f>
        <v>51</v>
      </c>
      <c r="O41" s="16">
        <f ca="1">SUM(N$5:N41)</f>
        <v>72360</v>
      </c>
      <c r="P41" s="16"/>
      <c r="Q41" s="19">
        <f t="shared" ca="1" si="25"/>
        <v>7.5857644261614524E-2</v>
      </c>
      <c r="R41" s="16"/>
      <c r="S41" s="16">
        <f t="shared" ca="1" si="3"/>
        <v>25000</v>
      </c>
      <c r="T41" s="19">
        <f t="shared" ca="1" si="26"/>
        <v>2.0400000000000001E-3</v>
      </c>
      <c r="U41" s="35"/>
      <c r="V41" s="30">
        <f t="shared" si="4"/>
        <v>0.7</v>
      </c>
      <c r="W41" s="16">
        <f t="shared" si="5"/>
        <v>9046108</v>
      </c>
      <c r="X41" s="16"/>
      <c r="Y41" s="16">
        <f t="shared" si="6"/>
        <v>1</v>
      </c>
      <c r="Z41" s="16">
        <f t="shared" si="7"/>
        <v>3</v>
      </c>
      <c r="AA41" s="16">
        <f t="shared" si="8"/>
        <v>1</v>
      </c>
      <c r="AB41" s="16"/>
      <c r="AC41" s="16">
        <f t="shared" si="9"/>
        <v>10001</v>
      </c>
      <c r="AD41" s="16">
        <f t="shared" si="10"/>
        <v>250003</v>
      </c>
      <c r="AE41" s="16">
        <f t="shared" si="11"/>
        <v>9739996</v>
      </c>
      <c r="AF41" s="16"/>
      <c r="AG41" s="16">
        <f>ROUND(AC41*Desire_severe*(1-SUM($BA$5:$BC40)/Population),0)</f>
        <v>9304</v>
      </c>
      <c r="AH41" s="16">
        <f>ROUND(AD41*Desire_mild*(1-SUM($BA$5:$BC40)/Population),0)</f>
        <v>116289</v>
      </c>
      <c r="AI41" s="16">
        <f>ROUND(AE41*Desire_asy*(1-SUM($BA$5:$BC40)/Population),0)</f>
        <v>181222</v>
      </c>
      <c r="AJ41" s="16"/>
      <c r="AK41" s="16">
        <f t="shared" si="35"/>
        <v>25000</v>
      </c>
      <c r="AL41" s="16">
        <f t="shared" ref="AL41" si="47">ROUND(AK41*Rationed_tests,0)</f>
        <v>18750</v>
      </c>
      <c r="AM41" s="16">
        <f t="shared" si="27"/>
        <v>6250</v>
      </c>
      <c r="AN41" s="16"/>
      <c r="AO41" s="16">
        <f t="shared" si="36"/>
        <v>9304</v>
      </c>
      <c r="AP41" s="16">
        <f t="shared" si="37"/>
        <v>9446</v>
      </c>
      <c r="AQ41" s="16">
        <f t="shared" si="28"/>
        <v>0</v>
      </c>
      <c r="AR41" s="16"/>
      <c r="AS41" s="16">
        <f t="shared" si="42"/>
        <v>0</v>
      </c>
      <c r="AT41" s="16">
        <f t="shared" si="42"/>
        <v>106843</v>
      </c>
      <c r="AU41" s="16">
        <f t="shared" si="42"/>
        <v>181222</v>
      </c>
      <c r="AV41" s="16"/>
      <c r="AW41" s="16">
        <f t="shared" si="29"/>
        <v>0</v>
      </c>
      <c r="AX41" s="16">
        <f t="shared" si="15"/>
        <v>2318</v>
      </c>
      <c r="AY41" s="16">
        <f t="shared" si="30"/>
        <v>3932</v>
      </c>
      <c r="AZ41" s="16"/>
      <c r="BA41" s="16">
        <f t="shared" si="43"/>
        <v>9304</v>
      </c>
      <c r="BB41" s="16">
        <f t="shared" si="43"/>
        <v>11764</v>
      </c>
      <c r="BC41" s="16">
        <f t="shared" si="43"/>
        <v>3932</v>
      </c>
      <c r="BD41" s="16"/>
      <c r="BE41" s="20">
        <f t="shared" si="44"/>
        <v>9.9990000999900015E-5</v>
      </c>
      <c r="BF41" s="20">
        <f t="shared" si="44"/>
        <v>1.1999856001727979E-5</v>
      </c>
      <c r="BG41" s="20">
        <f t="shared" si="44"/>
        <v>1.0266944668149761E-7</v>
      </c>
      <c r="BH41" s="16"/>
      <c r="BI41" s="16">
        <f t="shared" ref="BI41" si="48">ROUND(BA41*BE41*(1-False_negative),0)+ROUND(BA41*(1-BE41)*(False_positive),0)</f>
        <v>20</v>
      </c>
      <c r="BJ41" s="16">
        <f t="shared" ref="BJ41" si="49">ROUND(BB41*BF41*(1-False_negative),0)+ROUND(BB41*(1-BF41)*(False_positive),0)</f>
        <v>24</v>
      </c>
      <c r="BK41" s="16">
        <f t="shared" ref="BK41" si="50">ROUND(BC41*BG41*(1-False_negative),0)+ROUND(BC41*(1-BG41)*(False_positive),0)</f>
        <v>8</v>
      </c>
      <c r="BL41" s="16"/>
      <c r="BM41" s="16">
        <f t="shared" si="33"/>
        <v>52</v>
      </c>
      <c r="BN41" s="22">
        <f t="shared" si="39"/>
        <v>1.0196078431372548</v>
      </c>
      <c r="BO41" s="19">
        <f t="shared" si="45"/>
        <v>2.0799999999999998E-3</v>
      </c>
    </row>
    <row r="42" spans="1:67" ht="14" customHeight="1" x14ac:dyDescent="0.15">
      <c r="F42" s="1"/>
      <c r="I42" s="1"/>
      <c r="J42" s="1"/>
      <c r="K42" s="1"/>
      <c r="N42" s="1"/>
      <c r="O42" s="1"/>
      <c r="P42" s="1"/>
      <c r="Q42" s="1"/>
      <c r="R42" s="1"/>
      <c r="S42" s="1"/>
      <c r="T42" s="1"/>
      <c r="U42" s="36"/>
      <c r="V42" s="31"/>
      <c r="W42" s="1"/>
      <c r="X42" s="1"/>
      <c r="AB42" s="1"/>
      <c r="AF42" s="1"/>
      <c r="AJ42" s="1"/>
      <c r="AN42" s="1"/>
      <c r="AR42" s="1"/>
      <c r="AV42" s="1"/>
      <c r="AZ42" s="1"/>
      <c r="BD42" s="1"/>
      <c r="BH42" s="1"/>
      <c r="BL42" s="1"/>
    </row>
    <row r="43" spans="1:67" ht="14" customHeight="1" x14ac:dyDescent="0.15">
      <c r="F43" s="1"/>
      <c r="I43" s="1"/>
      <c r="J43" s="1"/>
      <c r="K43" s="1"/>
      <c r="N43" s="1"/>
      <c r="O43" s="1"/>
      <c r="P43" s="1"/>
      <c r="Q43" s="1"/>
      <c r="R43" s="1"/>
      <c r="S43" s="1"/>
      <c r="T43" s="1"/>
      <c r="U43" s="36"/>
      <c r="V43" s="31"/>
      <c r="W43" s="1"/>
      <c r="X43" s="1"/>
      <c r="AB43" s="1"/>
      <c r="AF43" s="1"/>
      <c r="AJ43" s="1"/>
      <c r="AN43" s="1"/>
      <c r="AR43" s="1"/>
      <c r="AV43" s="1"/>
      <c r="AZ43" s="1"/>
      <c r="BD43" s="1"/>
      <c r="BH43" s="1"/>
      <c r="BL43" s="1"/>
    </row>
    <row r="44" spans="1:67" ht="14" customHeight="1" x14ac:dyDescent="0.15">
      <c r="F44" s="1"/>
      <c r="I44" s="1"/>
      <c r="J44" s="1"/>
      <c r="K44" s="1"/>
      <c r="N44" s="1"/>
      <c r="O44" s="1"/>
      <c r="P44" s="1"/>
      <c r="Q44" s="1"/>
      <c r="R44" s="1"/>
      <c r="S44" s="1"/>
      <c r="T44" s="1"/>
      <c r="U44" s="36"/>
      <c r="V44" s="31"/>
      <c r="W44" s="1"/>
      <c r="X44" s="1"/>
      <c r="AB44" s="1"/>
      <c r="AF44" s="1"/>
      <c r="AJ44" s="1"/>
      <c r="AN44" s="1"/>
      <c r="AR44" s="1"/>
      <c r="AV44" s="1"/>
      <c r="AZ44" s="1"/>
      <c r="BD44" s="1"/>
      <c r="BH44" s="1"/>
      <c r="BL44" s="1"/>
    </row>
    <row r="45" spans="1:67" ht="14" customHeight="1" x14ac:dyDescent="0.15">
      <c r="F45" s="1"/>
      <c r="I45" s="1"/>
      <c r="J45" s="1"/>
      <c r="K45" s="1"/>
      <c r="N45" s="1"/>
      <c r="O45" s="1"/>
      <c r="P45" s="1"/>
      <c r="Q45" s="1"/>
      <c r="R45" s="1"/>
      <c r="S45" s="1"/>
      <c r="T45" s="1"/>
      <c r="U45" s="36"/>
      <c r="V45" s="31"/>
      <c r="W45" s="1"/>
      <c r="X45" s="1"/>
      <c r="AB45" s="1"/>
      <c r="AF45" s="1"/>
      <c r="AJ45" s="1"/>
      <c r="AN45" s="1"/>
      <c r="AR45" s="1"/>
      <c r="AV45" s="1"/>
      <c r="AZ45" s="1"/>
      <c r="BD45" s="1"/>
      <c r="BH45" s="1"/>
      <c r="BL45" s="1"/>
    </row>
    <row r="46" spans="1:67" ht="14" customHeight="1" x14ac:dyDescent="0.15">
      <c r="F46" s="1"/>
      <c r="I46" s="1"/>
      <c r="J46" s="1"/>
      <c r="K46" s="1"/>
      <c r="N46" s="1"/>
      <c r="O46" s="1"/>
      <c r="P46" s="1"/>
      <c r="Q46" s="1"/>
      <c r="R46" s="1"/>
      <c r="S46" s="1"/>
      <c r="T46" s="1"/>
      <c r="U46" s="36"/>
      <c r="V46" s="31"/>
      <c r="W46" s="1"/>
      <c r="X46" s="1"/>
      <c r="AB46" s="1"/>
      <c r="AF46" s="1"/>
      <c r="AJ46" s="1"/>
      <c r="AN46" s="1"/>
      <c r="AR46" s="1"/>
      <c r="AV46" s="1"/>
      <c r="AZ46" s="1"/>
      <c r="BD46" s="1"/>
      <c r="BH46" s="1"/>
      <c r="BL46" s="1"/>
    </row>
    <row r="47" spans="1:67" ht="14" customHeight="1" x14ac:dyDescent="0.15">
      <c r="F47" s="1"/>
      <c r="I47" s="1"/>
      <c r="J47" s="1"/>
      <c r="K47" s="1"/>
      <c r="N47" s="1"/>
      <c r="O47" s="1"/>
      <c r="P47" s="1"/>
      <c r="Q47" s="1"/>
      <c r="R47" s="1"/>
      <c r="S47" s="1"/>
      <c r="T47" s="1"/>
      <c r="U47" s="36"/>
      <c r="V47" s="31"/>
      <c r="W47" s="1"/>
      <c r="X47" s="1"/>
      <c r="AB47" s="1"/>
      <c r="AF47" s="1"/>
      <c r="AJ47" s="1"/>
      <c r="AN47" s="1"/>
      <c r="AR47" s="1"/>
      <c r="AV47" s="1"/>
      <c r="AZ47" s="1"/>
      <c r="BD47" s="1"/>
      <c r="BH47" s="1"/>
      <c r="BL47" s="1"/>
    </row>
    <row r="48" spans="1:67" ht="14" customHeight="1" x14ac:dyDescent="0.15">
      <c r="F48" s="1"/>
      <c r="I48" s="1"/>
      <c r="J48" s="1"/>
      <c r="K48" s="1"/>
      <c r="N48" s="1"/>
      <c r="O48" s="1"/>
      <c r="P48" s="1"/>
      <c r="Q48" s="1"/>
      <c r="R48" s="1"/>
      <c r="S48" s="1"/>
      <c r="T48" s="1"/>
      <c r="U48" s="36"/>
      <c r="V48" s="31"/>
      <c r="W48" s="1"/>
      <c r="X48" s="1"/>
      <c r="AB48" s="1"/>
      <c r="AF48" s="1"/>
      <c r="AJ48" s="1"/>
      <c r="AN48" s="1"/>
      <c r="AR48" s="1"/>
      <c r="AV48" s="1"/>
      <c r="AZ48" s="1"/>
      <c r="BD48" s="1"/>
      <c r="BH48" s="1"/>
      <c r="BL48" s="1"/>
    </row>
    <row r="49" spans="6:64" ht="14" customHeight="1" x14ac:dyDescent="0.15">
      <c r="F49" s="1"/>
      <c r="I49" s="1"/>
      <c r="J49" s="1"/>
      <c r="K49" s="1"/>
      <c r="N49" s="1"/>
      <c r="O49" s="1"/>
      <c r="P49" s="1"/>
      <c r="Q49" s="1"/>
      <c r="R49" s="1"/>
      <c r="S49" s="1"/>
      <c r="T49" s="1"/>
      <c r="U49" s="36"/>
      <c r="V49" s="31"/>
      <c r="W49" s="1"/>
      <c r="X49" s="1"/>
      <c r="AB49" s="1"/>
      <c r="AF49" s="1"/>
      <c r="AJ49" s="1"/>
      <c r="AN49" s="1"/>
      <c r="AR49" s="1"/>
      <c r="AV49" s="1"/>
      <c r="AZ49" s="1"/>
      <c r="BD49" s="1"/>
      <c r="BH49" s="1"/>
      <c r="BL49" s="1"/>
    </row>
    <row r="50" spans="6:64" ht="14" customHeight="1" x14ac:dyDescent="0.15">
      <c r="F50" s="1"/>
      <c r="I50" s="1"/>
      <c r="J50" s="1"/>
      <c r="K50" s="1"/>
      <c r="N50" s="1"/>
      <c r="O50" s="1"/>
      <c r="P50" s="1"/>
      <c r="Q50" s="1"/>
      <c r="R50" s="1"/>
      <c r="S50" s="1"/>
      <c r="T50" s="1"/>
      <c r="U50" s="36"/>
      <c r="V50" s="31"/>
      <c r="W50" s="1"/>
      <c r="X50" s="1"/>
      <c r="AB50" s="1"/>
      <c r="AF50" s="1"/>
      <c r="AJ50" s="1"/>
      <c r="AN50" s="1"/>
      <c r="AR50" s="1"/>
      <c r="AV50" s="1"/>
      <c r="AZ50" s="1"/>
      <c r="BD50" s="1"/>
      <c r="BH50" s="1"/>
      <c r="BL50" s="1"/>
    </row>
    <row r="51" spans="6:64" ht="14" customHeight="1" x14ac:dyDescent="0.15">
      <c r="F51" s="1"/>
      <c r="I51" s="1"/>
      <c r="J51" s="1"/>
      <c r="K51" s="1"/>
      <c r="N51" s="1"/>
      <c r="O51" s="1"/>
      <c r="P51" s="1"/>
      <c r="Q51" s="1"/>
      <c r="R51" s="1"/>
      <c r="S51" s="1"/>
      <c r="T51" s="1"/>
      <c r="U51" s="36"/>
      <c r="V51" s="31"/>
      <c r="W51" s="1"/>
      <c r="X51" s="1"/>
      <c r="AB51" s="1"/>
      <c r="AF51" s="1"/>
      <c r="AJ51" s="1"/>
      <c r="AN51" s="1"/>
      <c r="AR51" s="1"/>
      <c r="AV51" s="1"/>
      <c r="AZ51" s="1"/>
      <c r="BD51" s="1"/>
      <c r="BH51" s="1"/>
      <c r="BL51" s="1"/>
    </row>
    <row r="52" spans="6:64" ht="14" customHeight="1" x14ac:dyDescent="0.15">
      <c r="F52" s="1"/>
      <c r="I52" s="1"/>
      <c r="J52" s="1"/>
      <c r="K52" s="1"/>
      <c r="N52" s="1"/>
      <c r="O52" s="1"/>
      <c r="P52" s="1"/>
      <c r="Q52" s="1"/>
      <c r="R52" s="1"/>
      <c r="S52" s="1"/>
      <c r="T52" s="1"/>
      <c r="U52" s="36"/>
      <c r="V52" s="31"/>
      <c r="W52" s="1"/>
      <c r="X52" s="1"/>
      <c r="AB52" s="1"/>
      <c r="AF52" s="1"/>
      <c r="AJ52" s="1"/>
      <c r="AN52" s="1"/>
      <c r="AR52" s="1"/>
      <c r="AV52" s="1"/>
      <c r="AZ52" s="1"/>
      <c r="BD52" s="1"/>
      <c r="BH52" s="1"/>
      <c r="BL52" s="1"/>
    </row>
    <row r="53" spans="6:64" ht="14" customHeight="1" x14ac:dyDescent="0.15">
      <c r="F53" s="1"/>
      <c r="I53" s="1"/>
      <c r="J53" s="1"/>
      <c r="K53" s="1"/>
      <c r="N53" s="1"/>
      <c r="O53" s="1"/>
      <c r="P53" s="1"/>
      <c r="Q53" s="1"/>
      <c r="R53" s="1"/>
      <c r="S53" s="1"/>
      <c r="T53" s="1"/>
      <c r="U53" s="36"/>
      <c r="V53" s="31"/>
      <c r="W53" s="1"/>
      <c r="X53" s="1"/>
      <c r="AB53" s="1"/>
      <c r="AF53" s="1"/>
      <c r="AJ53" s="1"/>
      <c r="AN53" s="1"/>
      <c r="AR53" s="1"/>
      <c r="AV53" s="1"/>
      <c r="AZ53" s="1"/>
      <c r="BD53" s="1"/>
      <c r="BH53" s="1"/>
      <c r="BL53" s="1"/>
    </row>
    <row r="54" spans="6:64" ht="14" customHeight="1" x14ac:dyDescent="0.15">
      <c r="F54" s="1"/>
      <c r="I54" s="1"/>
      <c r="J54" s="1"/>
      <c r="K54" s="1"/>
      <c r="N54" s="1"/>
      <c r="O54" s="1"/>
      <c r="P54" s="1"/>
      <c r="Q54" s="1"/>
      <c r="R54" s="1"/>
      <c r="S54" s="1"/>
      <c r="T54" s="1"/>
      <c r="U54" s="36"/>
      <c r="V54" s="31"/>
      <c r="W54" s="1"/>
      <c r="X54" s="1"/>
      <c r="AB54" s="1"/>
      <c r="AF54" s="1"/>
      <c r="AJ54" s="1"/>
      <c r="AN54" s="1"/>
      <c r="AR54" s="1"/>
      <c r="AV54" s="1"/>
      <c r="AZ54" s="1"/>
      <c r="BD54" s="1"/>
      <c r="BH54" s="1"/>
      <c r="BL54" s="1"/>
    </row>
    <row r="55" spans="6:64" ht="14" customHeight="1" x14ac:dyDescent="0.15">
      <c r="F55" s="1"/>
      <c r="I55" s="1"/>
      <c r="J55" s="1"/>
      <c r="K55" s="1"/>
      <c r="N55" s="1"/>
      <c r="O55" s="1"/>
      <c r="P55" s="1"/>
      <c r="Q55" s="1"/>
      <c r="R55" s="1"/>
      <c r="S55" s="1"/>
      <c r="T55" s="1"/>
      <c r="U55" s="36"/>
      <c r="V55" s="31"/>
      <c r="W55" s="1"/>
      <c r="X55" s="1"/>
      <c r="AB55" s="1"/>
      <c r="AF55" s="1"/>
      <c r="AJ55" s="1"/>
      <c r="AN55" s="1"/>
      <c r="AR55" s="1"/>
      <c r="AV55" s="1"/>
      <c r="AZ55" s="1"/>
      <c r="BD55" s="1"/>
      <c r="BH55" s="1"/>
      <c r="BL55" s="1"/>
    </row>
    <row r="56" spans="6:64" ht="14" customHeight="1" x14ac:dyDescent="0.15">
      <c r="F56" s="1"/>
      <c r="I56" s="1"/>
      <c r="J56" s="1"/>
      <c r="K56" s="1"/>
      <c r="N56" s="1"/>
      <c r="O56" s="1"/>
      <c r="P56" s="1"/>
      <c r="Q56" s="1"/>
      <c r="R56" s="1"/>
      <c r="S56" s="1"/>
      <c r="T56" s="1"/>
      <c r="U56" s="36"/>
      <c r="V56" s="31"/>
      <c r="W56" s="1"/>
      <c r="X56" s="1"/>
      <c r="AB56" s="1"/>
      <c r="AF56" s="1"/>
      <c r="AJ56" s="1"/>
      <c r="AN56" s="1"/>
      <c r="AR56" s="1"/>
      <c r="AV56" s="1"/>
      <c r="AZ56" s="1"/>
      <c r="BD56" s="1"/>
      <c r="BH56" s="1"/>
      <c r="BL56" s="1"/>
    </row>
    <row r="57" spans="6:64" ht="14" customHeight="1" x14ac:dyDescent="0.15">
      <c r="F57" s="1"/>
      <c r="I57" s="1"/>
      <c r="J57" s="1"/>
      <c r="K57" s="1"/>
      <c r="N57" s="1"/>
      <c r="O57" s="1"/>
      <c r="P57" s="1"/>
      <c r="Q57" s="1"/>
      <c r="R57" s="1"/>
      <c r="S57" s="1"/>
      <c r="T57" s="1"/>
      <c r="U57" s="36"/>
      <c r="V57" s="31"/>
      <c r="W57" s="1"/>
      <c r="X57" s="1"/>
      <c r="AB57" s="1"/>
      <c r="AF57" s="1"/>
      <c r="AJ57" s="1"/>
      <c r="AN57" s="1"/>
      <c r="AR57" s="1"/>
      <c r="AV57" s="1"/>
      <c r="AZ57" s="1"/>
      <c r="BD57" s="1"/>
      <c r="BH57" s="1"/>
      <c r="BL57" s="1"/>
    </row>
    <row r="58" spans="6:64" ht="14" customHeight="1" x14ac:dyDescent="0.15">
      <c r="F58" s="1"/>
      <c r="I58" s="1"/>
      <c r="J58" s="1"/>
      <c r="K58" s="1"/>
      <c r="N58" s="1"/>
      <c r="O58" s="1"/>
      <c r="P58" s="1"/>
      <c r="Q58" s="1"/>
      <c r="R58" s="1"/>
      <c r="S58" s="1"/>
      <c r="T58" s="1"/>
      <c r="U58" s="36"/>
      <c r="V58" s="31"/>
      <c r="W58" s="1"/>
      <c r="X58" s="1"/>
      <c r="AB58" s="1"/>
      <c r="AF58" s="1"/>
      <c r="AJ58" s="1"/>
      <c r="AN58" s="1"/>
      <c r="AR58" s="1"/>
      <c r="AV58" s="1"/>
      <c r="AZ58" s="1"/>
      <c r="BD58" s="1"/>
      <c r="BH58" s="1"/>
      <c r="BL58" s="1"/>
    </row>
    <row r="59" spans="6:64" ht="14" customHeight="1" x14ac:dyDescent="0.15">
      <c r="F59" s="1"/>
      <c r="I59" s="1"/>
      <c r="J59" s="1"/>
      <c r="K59" s="1"/>
      <c r="N59" s="1"/>
      <c r="O59" s="1"/>
      <c r="P59" s="1"/>
      <c r="Q59" s="1"/>
      <c r="R59" s="1"/>
      <c r="S59" s="1"/>
      <c r="T59" s="1"/>
      <c r="U59" s="36"/>
      <c r="V59" s="31"/>
      <c r="W59" s="1"/>
      <c r="X59" s="1"/>
      <c r="AB59" s="1"/>
      <c r="AF59" s="1"/>
      <c r="AJ59" s="1"/>
      <c r="AN59" s="1"/>
      <c r="AR59" s="1"/>
      <c r="AV59" s="1"/>
      <c r="AZ59" s="1"/>
      <c r="BD59" s="1"/>
      <c r="BH59" s="1"/>
      <c r="BL59" s="1"/>
    </row>
    <row r="60" spans="6:64" ht="14" customHeight="1" x14ac:dyDescent="0.15">
      <c r="F60" s="1"/>
      <c r="I60" s="1"/>
      <c r="J60" s="1"/>
      <c r="K60" s="1"/>
      <c r="N60" s="1"/>
      <c r="O60" s="1"/>
      <c r="P60" s="1"/>
      <c r="Q60" s="1"/>
      <c r="R60" s="1"/>
      <c r="S60" s="1"/>
      <c r="T60" s="1"/>
      <c r="U60" s="36"/>
      <c r="V60" s="31"/>
      <c r="W60" s="1"/>
      <c r="X60" s="1"/>
      <c r="AB60" s="1"/>
      <c r="AF60" s="1"/>
      <c r="AJ60" s="1"/>
      <c r="AN60" s="1"/>
      <c r="AR60" s="1"/>
      <c r="AV60" s="1"/>
      <c r="AZ60" s="1"/>
      <c r="BD60" s="1"/>
      <c r="BH60" s="1"/>
      <c r="BL60" s="1"/>
    </row>
    <row r="61" spans="6:64" ht="14" customHeight="1" x14ac:dyDescent="0.15">
      <c r="F61" s="1"/>
      <c r="I61" s="1"/>
      <c r="J61" s="1"/>
      <c r="K61" s="1"/>
      <c r="N61" s="1"/>
      <c r="O61" s="1"/>
      <c r="P61" s="1"/>
      <c r="Q61" s="1"/>
      <c r="R61" s="1"/>
      <c r="S61" s="1"/>
      <c r="T61" s="1"/>
      <c r="U61" s="36"/>
      <c r="V61" s="31"/>
      <c r="W61" s="1"/>
      <c r="X61" s="1"/>
      <c r="AB61" s="1"/>
      <c r="AF61" s="1"/>
      <c r="AJ61" s="1"/>
      <c r="AN61" s="1"/>
      <c r="AR61" s="1"/>
      <c r="AV61" s="1"/>
      <c r="AZ61" s="1"/>
      <c r="BD61" s="1"/>
      <c r="BH61" s="1"/>
      <c r="BL61" s="1"/>
    </row>
    <row r="62" spans="6:64" ht="14" customHeight="1" x14ac:dyDescent="0.15">
      <c r="F62" s="1"/>
      <c r="I62" s="1"/>
      <c r="J62" s="1"/>
      <c r="K62" s="1"/>
      <c r="N62" s="1"/>
      <c r="O62" s="1"/>
      <c r="P62" s="1"/>
      <c r="Q62" s="1"/>
      <c r="R62" s="1"/>
      <c r="S62" s="1"/>
      <c r="T62" s="1"/>
      <c r="U62" s="36"/>
      <c r="V62" s="31"/>
      <c r="W62" s="1"/>
      <c r="X62" s="1"/>
      <c r="AB62" s="1"/>
      <c r="AF62" s="1"/>
      <c r="AJ62" s="1"/>
      <c r="AN62" s="1"/>
      <c r="AR62" s="1"/>
      <c r="AV62" s="1"/>
      <c r="AZ62" s="1"/>
      <c r="BD62" s="1"/>
      <c r="BH62" s="1"/>
      <c r="BL62" s="1"/>
    </row>
    <row r="63" spans="6:64" ht="14" customHeight="1" x14ac:dyDescent="0.15">
      <c r="F63" s="1"/>
      <c r="I63" s="1"/>
      <c r="J63" s="1"/>
      <c r="K63" s="1"/>
      <c r="N63" s="1"/>
      <c r="O63" s="1"/>
      <c r="P63" s="1"/>
      <c r="Q63" s="1"/>
      <c r="R63" s="1"/>
      <c r="S63" s="1"/>
      <c r="T63" s="1"/>
      <c r="U63" s="36"/>
      <c r="V63" s="31"/>
      <c r="W63" s="1"/>
      <c r="X63" s="1"/>
      <c r="AB63" s="1"/>
      <c r="AF63" s="1"/>
      <c r="AJ63" s="1"/>
      <c r="AN63" s="1"/>
      <c r="AR63" s="1"/>
      <c r="AV63" s="1"/>
      <c r="AZ63" s="1"/>
      <c r="BD63" s="1"/>
      <c r="BH63" s="1"/>
      <c r="BL63" s="1"/>
    </row>
    <row r="64" spans="6:64" ht="14" customHeight="1" x14ac:dyDescent="0.15">
      <c r="F64" s="1"/>
      <c r="I64" s="1"/>
      <c r="J64" s="1"/>
      <c r="K64" s="1"/>
      <c r="N64" s="1"/>
      <c r="O64" s="1"/>
      <c r="P64" s="1"/>
      <c r="Q64" s="1"/>
      <c r="R64" s="1"/>
      <c r="S64" s="1"/>
      <c r="T64" s="1"/>
      <c r="U64" s="36"/>
      <c r="V64" s="31"/>
      <c r="W64" s="1"/>
      <c r="X64" s="1"/>
      <c r="AB64" s="1"/>
      <c r="AF64" s="1"/>
      <c r="AJ64" s="1"/>
      <c r="AN64" s="1"/>
      <c r="AR64" s="1"/>
      <c r="AV64" s="1"/>
      <c r="AZ64" s="1"/>
      <c r="BD64" s="1"/>
      <c r="BH64" s="1"/>
      <c r="BL64" s="1"/>
    </row>
    <row r="65" spans="6:64" ht="14" customHeight="1" x14ac:dyDescent="0.15">
      <c r="F65" s="1"/>
      <c r="I65" s="1"/>
      <c r="J65" s="1"/>
      <c r="K65" s="1"/>
      <c r="N65" s="1"/>
      <c r="O65" s="1"/>
      <c r="P65" s="1"/>
      <c r="Q65" s="1"/>
      <c r="R65" s="1"/>
      <c r="S65" s="1"/>
      <c r="T65" s="1"/>
      <c r="U65" s="36"/>
      <c r="V65" s="31"/>
      <c r="W65" s="1"/>
      <c r="X65" s="1"/>
      <c r="AB65" s="1"/>
      <c r="AF65" s="1"/>
      <c r="AJ65" s="1"/>
      <c r="AN65" s="1"/>
      <c r="AR65" s="1"/>
      <c r="AV65" s="1"/>
      <c r="AZ65" s="1"/>
      <c r="BD65" s="1"/>
      <c r="BH65" s="1"/>
      <c r="BL65" s="1"/>
    </row>
    <row r="66" spans="6:64" ht="14" customHeight="1" x14ac:dyDescent="0.15">
      <c r="F66" s="1"/>
      <c r="I66" s="1"/>
      <c r="J66" s="1"/>
      <c r="K66" s="1"/>
      <c r="N66" s="1"/>
      <c r="O66" s="1"/>
      <c r="P66" s="1"/>
      <c r="Q66" s="1"/>
      <c r="R66" s="1"/>
      <c r="S66" s="1"/>
      <c r="T66" s="1"/>
      <c r="U66" s="36"/>
      <c r="V66" s="31"/>
      <c r="W66" s="1"/>
      <c r="X66" s="1"/>
      <c r="AB66" s="1"/>
      <c r="AF66" s="1"/>
      <c r="AJ66" s="1"/>
      <c r="AN66" s="1"/>
      <c r="AR66" s="1"/>
      <c r="AV66" s="1"/>
      <c r="AZ66" s="1"/>
      <c r="BD66" s="1"/>
      <c r="BH66" s="1"/>
      <c r="BL66" s="1"/>
    </row>
    <row r="67" spans="6:64" ht="14" customHeight="1" x14ac:dyDescent="0.15">
      <c r="F67" s="1"/>
      <c r="I67" s="1"/>
      <c r="J67" s="1"/>
      <c r="K67" s="1"/>
      <c r="N67" s="1"/>
      <c r="O67" s="1"/>
      <c r="P67" s="1"/>
      <c r="Q67" s="1"/>
      <c r="R67" s="1"/>
      <c r="S67" s="1"/>
      <c r="T67" s="1"/>
      <c r="U67" s="36"/>
      <c r="V67" s="31"/>
      <c r="W67" s="1"/>
      <c r="X67" s="1"/>
      <c r="AB67" s="1"/>
      <c r="AF67" s="1"/>
      <c r="AJ67" s="1"/>
      <c r="AN67" s="1"/>
      <c r="AR67" s="1"/>
      <c r="AV67" s="1"/>
      <c r="AZ67" s="1"/>
      <c r="BD67" s="1"/>
      <c r="BH67" s="1"/>
      <c r="BL67" s="1"/>
    </row>
    <row r="68" spans="6:64" ht="14" customHeight="1" x14ac:dyDescent="0.15">
      <c r="F68" s="1"/>
      <c r="I68" s="1"/>
      <c r="J68" s="1"/>
      <c r="K68" s="1"/>
      <c r="N68" s="1"/>
      <c r="O68" s="1"/>
      <c r="P68" s="1"/>
      <c r="Q68" s="1"/>
      <c r="R68" s="1"/>
      <c r="S68" s="1"/>
      <c r="T68" s="1"/>
      <c r="U68" s="36"/>
      <c r="V68" s="31"/>
      <c r="W68" s="1"/>
      <c r="X68" s="1"/>
      <c r="AB68" s="1"/>
      <c r="AF68" s="1"/>
      <c r="AJ68" s="1"/>
      <c r="AN68" s="1"/>
      <c r="AR68" s="1"/>
      <c r="AV68" s="1"/>
      <c r="AZ68" s="1"/>
      <c r="BD68" s="1"/>
      <c r="BH68" s="1"/>
      <c r="BL68" s="1"/>
    </row>
    <row r="69" spans="6:64" ht="14" customHeight="1" x14ac:dyDescent="0.15">
      <c r="F69" s="1"/>
      <c r="I69" s="1"/>
      <c r="J69" s="1"/>
      <c r="K69" s="1"/>
      <c r="N69" s="1"/>
      <c r="O69" s="1"/>
      <c r="P69" s="1"/>
      <c r="Q69" s="1"/>
      <c r="R69" s="1"/>
      <c r="S69" s="1"/>
      <c r="T69" s="1"/>
      <c r="U69" s="36"/>
      <c r="V69" s="31"/>
      <c r="W69" s="1"/>
      <c r="X69" s="1"/>
      <c r="AB69" s="1"/>
      <c r="AF69" s="1"/>
      <c r="AJ69" s="1"/>
      <c r="AN69" s="1"/>
      <c r="AR69" s="1"/>
      <c r="AV69" s="1"/>
      <c r="AZ69" s="1"/>
      <c r="BD69" s="1"/>
      <c r="BH69" s="1"/>
      <c r="BL69" s="1"/>
    </row>
    <row r="70" spans="6:64" ht="14" customHeight="1" x14ac:dyDescent="0.15">
      <c r="F70" s="1"/>
      <c r="I70" s="1"/>
      <c r="J70" s="1"/>
      <c r="K70" s="1"/>
      <c r="N70" s="1"/>
      <c r="O70" s="1"/>
      <c r="P70" s="1"/>
      <c r="Q70" s="1"/>
      <c r="R70" s="1"/>
      <c r="S70" s="1"/>
      <c r="T70" s="1"/>
      <c r="U70" s="36"/>
      <c r="V70" s="31"/>
      <c r="W70" s="1"/>
      <c r="X70" s="1"/>
      <c r="AB70" s="1"/>
      <c r="AF70" s="1"/>
      <c r="AJ70" s="1"/>
      <c r="AN70" s="1"/>
      <c r="AR70" s="1"/>
      <c r="AV70" s="1"/>
      <c r="AZ70" s="1"/>
      <c r="BD70" s="1"/>
      <c r="BH70" s="1"/>
      <c r="BL70" s="1"/>
    </row>
    <row r="71" spans="6:64" ht="14" customHeight="1" x14ac:dyDescent="0.15">
      <c r="F71" s="1"/>
      <c r="I71" s="1"/>
      <c r="J71" s="1"/>
      <c r="K71" s="1"/>
      <c r="N71" s="1"/>
      <c r="O71" s="1"/>
      <c r="P71" s="1"/>
      <c r="Q71" s="1"/>
      <c r="R71" s="1"/>
      <c r="S71" s="1"/>
      <c r="T71" s="1"/>
      <c r="U71" s="36"/>
      <c r="V71" s="31"/>
      <c r="W71" s="1"/>
      <c r="X71" s="1"/>
      <c r="AB71" s="1"/>
      <c r="AF71" s="1"/>
      <c r="AJ71" s="1"/>
      <c r="AN71" s="1"/>
      <c r="AR71" s="1"/>
      <c r="AV71" s="1"/>
      <c r="AZ71" s="1"/>
      <c r="BD71" s="1"/>
      <c r="BH71" s="1"/>
      <c r="BL71" s="1"/>
    </row>
    <row r="72" spans="6:64" ht="14" customHeight="1" x14ac:dyDescent="0.15">
      <c r="F72" s="1"/>
      <c r="I72" s="1"/>
      <c r="J72" s="1"/>
      <c r="K72" s="1"/>
      <c r="N72" s="1"/>
      <c r="O72" s="1"/>
      <c r="P72" s="1"/>
      <c r="Q72" s="1"/>
      <c r="R72" s="1"/>
      <c r="S72" s="1"/>
      <c r="T72" s="1"/>
      <c r="U72" s="36"/>
      <c r="V72" s="31"/>
      <c r="W72" s="1"/>
      <c r="X72" s="1"/>
      <c r="AB72" s="1"/>
      <c r="AF72" s="1"/>
      <c r="AJ72" s="1"/>
      <c r="AN72" s="1"/>
      <c r="AR72" s="1"/>
      <c r="AV72" s="1"/>
      <c r="AZ72" s="1"/>
      <c r="BD72" s="1"/>
      <c r="BH72" s="1"/>
      <c r="BL72" s="1"/>
    </row>
    <row r="73" spans="6:64" ht="14" customHeight="1" x14ac:dyDescent="0.15">
      <c r="F73" s="1"/>
      <c r="I73" s="1"/>
      <c r="J73" s="1"/>
      <c r="K73" s="1"/>
      <c r="N73" s="1"/>
      <c r="O73" s="1"/>
      <c r="P73" s="1"/>
      <c r="Q73" s="1"/>
      <c r="R73" s="1"/>
      <c r="S73" s="1"/>
      <c r="T73" s="1"/>
      <c r="U73" s="36"/>
      <c r="V73" s="31"/>
      <c r="W73" s="1"/>
      <c r="X73" s="1"/>
      <c r="AB73" s="1"/>
      <c r="AF73" s="1"/>
      <c r="AJ73" s="1"/>
      <c r="AN73" s="1"/>
      <c r="AR73" s="1"/>
      <c r="AV73" s="1"/>
      <c r="AZ73" s="1"/>
      <c r="BD73" s="1"/>
      <c r="BH73" s="1"/>
      <c r="BL73" s="1"/>
    </row>
    <row r="74" spans="6:64" ht="14" customHeight="1" x14ac:dyDescent="0.15">
      <c r="F74" s="1"/>
      <c r="I74" s="1"/>
      <c r="J74" s="1"/>
      <c r="K74" s="1"/>
      <c r="N74" s="1"/>
      <c r="O74" s="1"/>
      <c r="P74" s="1"/>
      <c r="Q74" s="1"/>
      <c r="R74" s="1"/>
      <c r="S74" s="1"/>
      <c r="T74" s="1"/>
      <c r="U74" s="36"/>
      <c r="V74" s="31"/>
      <c r="W74" s="1"/>
      <c r="X74" s="1"/>
      <c r="AB74" s="1"/>
      <c r="AF74" s="1"/>
      <c r="AJ74" s="1"/>
      <c r="AN74" s="1"/>
      <c r="AR74" s="1"/>
      <c r="AV74" s="1"/>
      <c r="AZ74" s="1"/>
      <c r="BD74" s="1"/>
      <c r="BH74" s="1"/>
      <c r="BL74" s="1"/>
    </row>
    <row r="75" spans="6:64" ht="14" customHeight="1" x14ac:dyDescent="0.15">
      <c r="F75" s="1"/>
      <c r="I75" s="1"/>
      <c r="J75" s="1"/>
      <c r="K75" s="1"/>
      <c r="N75" s="1"/>
      <c r="O75" s="1"/>
      <c r="P75" s="1"/>
      <c r="Q75" s="1"/>
      <c r="R75" s="1"/>
      <c r="S75" s="1"/>
      <c r="T75" s="1"/>
      <c r="U75" s="36"/>
      <c r="V75" s="31"/>
      <c r="W75" s="1"/>
      <c r="X75" s="1"/>
      <c r="AB75" s="1"/>
      <c r="AF75" s="1"/>
      <c r="AJ75" s="1"/>
      <c r="AN75" s="1"/>
      <c r="AR75" s="1"/>
      <c r="AV75" s="1"/>
      <c r="AZ75" s="1"/>
      <c r="BD75" s="1"/>
      <c r="BH75" s="1"/>
      <c r="BL75" s="1"/>
    </row>
    <row r="76" spans="6:64" ht="14" customHeight="1" x14ac:dyDescent="0.15">
      <c r="F76" s="1"/>
      <c r="I76" s="1"/>
      <c r="J76" s="1"/>
      <c r="K76" s="1"/>
      <c r="N76" s="1"/>
      <c r="O76" s="1"/>
      <c r="P76" s="1"/>
      <c r="Q76" s="1"/>
      <c r="R76" s="1"/>
      <c r="S76" s="1"/>
      <c r="T76" s="1"/>
      <c r="U76" s="36"/>
      <c r="V76" s="31"/>
      <c r="W76" s="1"/>
      <c r="X76" s="1"/>
      <c r="AB76" s="1"/>
      <c r="AF76" s="1"/>
      <c r="AJ76" s="1"/>
      <c r="AN76" s="1"/>
      <c r="AR76" s="1"/>
      <c r="AV76" s="1"/>
      <c r="AZ76" s="1"/>
      <c r="BD76" s="1"/>
      <c r="BH76" s="1"/>
      <c r="BL76" s="1"/>
    </row>
    <row r="77" spans="6:64" ht="14" customHeight="1" x14ac:dyDescent="0.15">
      <c r="F77" s="1"/>
      <c r="I77" s="1"/>
      <c r="J77" s="1"/>
      <c r="K77" s="1"/>
      <c r="N77" s="1"/>
      <c r="O77" s="1"/>
      <c r="P77" s="1"/>
      <c r="Q77" s="1"/>
      <c r="R77" s="1"/>
      <c r="S77" s="1"/>
      <c r="T77" s="1"/>
      <c r="U77" s="36"/>
      <c r="V77" s="31"/>
      <c r="W77" s="1"/>
      <c r="X77" s="1"/>
      <c r="AB77" s="1"/>
      <c r="AF77" s="1"/>
      <c r="AJ77" s="1"/>
      <c r="AN77" s="1"/>
      <c r="AR77" s="1"/>
      <c r="AV77" s="1"/>
      <c r="AZ77" s="1"/>
      <c r="BD77" s="1"/>
      <c r="BH77" s="1"/>
      <c r="BL77" s="1"/>
    </row>
    <row r="78" spans="6:64" ht="14" customHeight="1" x14ac:dyDescent="0.15">
      <c r="F78" s="1"/>
      <c r="I78" s="1"/>
      <c r="J78" s="1"/>
      <c r="K78" s="1"/>
      <c r="N78" s="1"/>
      <c r="O78" s="1"/>
      <c r="P78" s="1"/>
      <c r="Q78" s="1"/>
      <c r="R78" s="1"/>
      <c r="S78" s="1"/>
      <c r="T78" s="1"/>
      <c r="U78" s="36"/>
      <c r="V78" s="31"/>
      <c r="W78" s="1"/>
      <c r="X78" s="1"/>
      <c r="AB78" s="1"/>
      <c r="AF78" s="1"/>
      <c r="AJ78" s="1"/>
      <c r="AN78" s="1"/>
      <c r="AR78" s="1"/>
      <c r="AV78" s="1"/>
      <c r="AZ78" s="1"/>
      <c r="BD78" s="1"/>
      <c r="BH78" s="1"/>
      <c r="BL78" s="1"/>
    </row>
  </sheetData>
  <mergeCells count="12">
    <mergeCell ref="BI3:BK3"/>
    <mergeCell ref="G3:J3"/>
    <mergeCell ref="L3:O3"/>
    <mergeCell ref="S3:T3"/>
    <mergeCell ref="Y3:AA3"/>
    <mergeCell ref="AC3:AE3"/>
    <mergeCell ref="AG3:AI3"/>
    <mergeCell ref="AO3:AQ3"/>
    <mergeCell ref="AS3:AU3"/>
    <mergeCell ref="AW3:AY3"/>
    <mergeCell ref="BA3:BC3"/>
    <mergeCell ref="BE3:B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CFB45B-96C3-5447-AA51-71374537BAD8}">
          <x14:formula1>
            <xm:f>'do not delete'!$B$2:$B$5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E12A-1205-8340-BB4A-2BC590A3B33D}">
  <dimension ref="A1:BO78"/>
  <sheetViews>
    <sheetView zoomScale="99" workbookViewId="0">
      <pane xSplit="3" ySplit="4" topLeftCell="BJ5" activePane="bottomRight" state="frozen"/>
      <selection activeCell="A3" sqref="A3"/>
      <selection pane="topRight" activeCell="A3" sqref="A3"/>
      <selection pane="bottomLeft" activeCell="A3" sqref="A3"/>
      <selection pane="bottomRight" activeCell="BN4" sqref="BN4"/>
    </sheetView>
  </sheetViews>
  <sheetFormatPr baseColWidth="10" defaultColWidth="17.83203125" defaultRowHeight="14" customHeight="1" x14ac:dyDescent="0.15"/>
  <cols>
    <col min="1" max="1" width="49.33203125" style="1" customWidth="1"/>
    <col min="2" max="2" width="16.5" style="3" bestFit="1" customWidth="1"/>
    <col min="3" max="3" width="2.6640625" style="1" customWidth="1"/>
    <col min="4" max="4" width="11.33203125" style="36" customWidth="1"/>
    <col min="5" max="5" width="10.1640625" style="1" customWidth="1"/>
    <col min="6" max="6" width="5.1640625" style="4" customWidth="1"/>
    <col min="7" max="7" width="9.1640625" style="1" customWidth="1"/>
    <col min="8" max="8" width="10.6640625" style="31" customWidth="1"/>
    <col min="9" max="9" width="10.5" style="4" customWidth="1"/>
    <col min="10" max="10" width="11.5" style="4" customWidth="1"/>
    <col min="11" max="11" width="5.1640625" style="4" customWidth="1"/>
    <col min="12" max="12" width="9.1640625" style="1" customWidth="1"/>
    <col min="13" max="13" width="9.1640625" style="31" customWidth="1"/>
    <col min="14" max="15" width="11.83203125" style="4" customWidth="1"/>
    <col min="16" max="16" width="5.1640625" style="4" customWidth="1"/>
    <col min="17" max="17" width="14.1640625" style="4" customWidth="1"/>
    <col min="18" max="18" width="5.1640625" style="4" customWidth="1"/>
    <col min="19" max="19" width="11.1640625" style="4" customWidth="1"/>
    <col min="20" max="20" width="12.1640625" style="4" customWidth="1"/>
    <col min="21" max="21" width="5.1640625" style="32" customWidth="1"/>
    <col min="22" max="22" width="8.33203125" style="27" customWidth="1"/>
    <col min="23" max="23" width="14.1640625" style="2" customWidth="1"/>
    <col min="24" max="24" width="5.1640625" style="4" customWidth="1"/>
    <col min="25" max="27" width="14.33203125" style="4" customWidth="1"/>
    <col min="28" max="28" width="5.1640625" style="4" customWidth="1"/>
    <col min="29" max="31" width="17.83203125" style="4" customWidth="1"/>
    <col min="32" max="32" width="5.1640625" style="4" customWidth="1"/>
    <col min="33" max="35" width="17.83203125" style="1" customWidth="1"/>
    <col min="36" max="36" width="5.1640625" style="4" customWidth="1"/>
    <col min="37" max="39" width="17.83203125" style="1" customWidth="1"/>
    <col min="40" max="40" width="5.1640625" style="4" customWidth="1"/>
    <col min="41" max="43" width="17.83203125" style="1" customWidth="1"/>
    <col min="44" max="44" width="5.1640625" style="4" customWidth="1"/>
    <col min="45" max="47" width="17.83203125" style="1" customWidth="1"/>
    <col min="48" max="48" width="5.1640625" style="4" customWidth="1"/>
    <col min="49" max="51" width="17.83203125" style="1" customWidth="1"/>
    <col min="52" max="52" width="5.1640625" style="4" customWidth="1"/>
    <col min="53" max="55" width="17.83203125" style="1" customWidth="1"/>
    <col min="56" max="56" width="5.1640625" style="4" customWidth="1"/>
    <col min="57" max="59" width="17.83203125" style="1" customWidth="1"/>
    <col min="60" max="60" width="5.1640625" style="4" customWidth="1"/>
    <col min="61" max="63" width="17.83203125" style="1" customWidth="1"/>
    <col min="64" max="64" width="5.1640625" style="4" customWidth="1"/>
    <col min="65" max="65" width="17.83203125" style="1"/>
    <col min="66" max="67" width="17.83203125" style="4"/>
    <col min="68" max="16384" width="17.83203125" style="1"/>
  </cols>
  <sheetData>
    <row r="1" spans="1:67" ht="20" customHeight="1" x14ac:dyDescent="0.2">
      <c r="A1" s="6" t="s">
        <v>58</v>
      </c>
    </row>
    <row r="2" spans="1:67" ht="14" customHeight="1" x14ac:dyDescent="0.15">
      <c r="A2" s="1" t="s">
        <v>63</v>
      </c>
    </row>
    <row r="3" spans="1:67" ht="14" customHeight="1" x14ac:dyDescent="0.2">
      <c r="A3" s="39" t="s">
        <v>36</v>
      </c>
      <c r="F3" s="5"/>
      <c r="G3" s="44" t="s">
        <v>13</v>
      </c>
      <c r="H3" s="44"/>
      <c r="I3" s="45"/>
      <c r="J3" s="45"/>
      <c r="K3" s="5"/>
      <c r="L3" s="44" t="s">
        <v>17</v>
      </c>
      <c r="M3" s="44"/>
      <c r="N3" s="45"/>
      <c r="O3" s="45"/>
      <c r="P3" s="5"/>
      <c r="Q3" s="5"/>
      <c r="R3" s="5"/>
      <c r="S3" s="46" t="s">
        <v>19</v>
      </c>
      <c r="T3" s="46"/>
      <c r="U3" s="33"/>
      <c r="V3" s="28"/>
      <c r="X3" s="5"/>
      <c r="Y3" s="42" t="s">
        <v>21</v>
      </c>
      <c r="Z3" s="47"/>
      <c r="AA3" s="47"/>
      <c r="AB3" s="5"/>
      <c r="AC3" s="42" t="s">
        <v>45</v>
      </c>
      <c r="AD3" s="47"/>
      <c r="AE3" s="47"/>
      <c r="AF3" s="5"/>
      <c r="AG3" s="42" t="s">
        <v>22</v>
      </c>
      <c r="AH3" s="47"/>
      <c r="AI3" s="47"/>
      <c r="AJ3" s="5"/>
      <c r="AN3" s="5"/>
      <c r="AO3" s="42" t="s">
        <v>23</v>
      </c>
      <c r="AP3" s="43"/>
      <c r="AQ3" s="43"/>
      <c r="AR3" s="5"/>
      <c r="AS3" s="42" t="s">
        <v>24</v>
      </c>
      <c r="AT3" s="43"/>
      <c r="AU3" s="43"/>
      <c r="AV3" s="5"/>
      <c r="AW3" s="42" t="s">
        <v>37</v>
      </c>
      <c r="AX3" s="43"/>
      <c r="AY3" s="43"/>
      <c r="AZ3" s="5"/>
      <c r="BA3" s="42" t="s">
        <v>25</v>
      </c>
      <c r="BB3" s="43"/>
      <c r="BC3" s="43"/>
      <c r="BD3" s="5"/>
      <c r="BE3" s="42" t="s">
        <v>26</v>
      </c>
      <c r="BF3" s="43"/>
      <c r="BG3" s="43"/>
      <c r="BH3" s="5"/>
      <c r="BI3" s="42" t="s">
        <v>27</v>
      </c>
      <c r="BJ3" s="43"/>
      <c r="BK3" s="43"/>
      <c r="BL3" s="5"/>
    </row>
    <row r="4" spans="1:67" s="9" customFormat="1" ht="61" customHeight="1" x14ac:dyDescent="0.15">
      <c r="A4" s="7" t="s">
        <v>0</v>
      </c>
      <c r="B4" s="8"/>
      <c r="D4" s="37" t="s">
        <v>47</v>
      </c>
      <c r="E4" s="10" t="s">
        <v>14</v>
      </c>
      <c r="F4" s="11"/>
      <c r="G4" s="12" t="s">
        <v>64</v>
      </c>
      <c r="H4" s="29" t="s">
        <v>35</v>
      </c>
      <c r="I4" s="12" t="s">
        <v>38</v>
      </c>
      <c r="J4" s="12" t="s">
        <v>39</v>
      </c>
      <c r="K4" s="11"/>
      <c r="L4" s="12" t="s">
        <v>65</v>
      </c>
      <c r="M4" s="29" t="s">
        <v>35</v>
      </c>
      <c r="N4" s="12" t="s">
        <v>40</v>
      </c>
      <c r="O4" s="12" t="s">
        <v>41</v>
      </c>
      <c r="P4" s="11"/>
      <c r="Q4" s="12" t="s">
        <v>18</v>
      </c>
      <c r="R4" s="11"/>
      <c r="S4" s="12" t="s">
        <v>46</v>
      </c>
      <c r="T4" s="12" t="s">
        <v>28</v>
      </c>
      <c r="U4" s="34"/>
      <c r="V4" s="29" t="s">
        <v>30</v>
      </c>
      <c r="W4" s="13" t="s">
        <v>7</v>
      </c>
      <c r="X4" s="11"/>
      <c r="Y4" s="14" t="s">
        <v>15</v>
      </c>
      <c r="Z4" s="14" t="s">
        <v>16</v>
      </c>
      <c r="AA4" s="14" t="s">
        <v>8</v>
      </c>
      <c r="AB4" s="11"/>
      <c r="AC4" s="14" t="s">
        <v>15</v>
      </c>
      <c r="AD4" s="14" t="s">
        <v>16</v>
      </c>
      <c r="AE4" s="14" t="s">
        <v>8</v>
      </c>
      <c r="AF4" s="11"/>
      <c r="AG4" s="14" t="s">
        <v>15</v>
      </c>
      <c r="AH4" s="14" t="s">
        <v>16</v>
      </c>
      <c r="AI4" s="14" t="s">
        <v>8</v>
      </c>
      <c r="AJ4" s="11"/>
      <c r="AK4" s="14" t="s">
        <v>9</v>
      </c>
      <c r="AL4" s="14" t="s">
        <v>10</v>
      </c>
      <c r="AM4" s="14" t="s">
        <v>11</v>
      </c>
      <c r="AN4" s="11"/>
      <c r="AO4" s="14" t="s">
        <v>15</v>
      </c>
      <c r="AP4" s="14" t="s">
        <v>16</v>
      </c>
      <c r="AQ4" s="14" t="s">
        <v>8</v>
      </c>
      <c r="AR4" s="11"/>
      <c r="AS4" s="14" t="s">
        <v>15</v>
      </c>
      <c r="AT4" s="14" t="s">
        <v>16</v>
      </c>
      <c r="AU4" s="14" t="s">
        <v>8</v>
      </c>
      <c r="AV4" s="11"/>
      <c r="AW4" s="14" t="s">
        <v>15</v>
      </c>
      <c r="AX4" s="14" t="s">
        <v>16</v>
      </c>
      <c r="AY4" s="14" t="s">
        <v>8</v>
      </c>
      <c r="AZ4" s="11"/>
      <c r="BA4" s="14" t="s">
        <v>15</v>
      </c>
      <c r="BB4" s="14" t="s">
        <v>16</v>
      </c>
      <c r="BC4" s="14" t="s">
        <v>8</v>
      </c>
      <c r="BD4" s="11"/>
      <c r="BE4" s="14" t="s">
        <v>15</v>
      </c>
      <c r="BF4" s="14" t="s">
        <v>16</v>
      </c>
      <c r="BG4" s="14" t="s">
        <v>8</v>
      </c>
      <c r="BH4" s="11"/>
      <c r="BI4" s="14" t="s">
        <v>15</v>
      </c>
      <c r="BJ4" s="14" t="s">
        <v>16</v>
      </c>
      <c r="BK4" s="14" t="s">
        <v>8</v>
      </c>
      <c r="BL4" s="11"/>
      <c r="BM4" s="14" t="s">
        <v>29</v>
      </c>
      <c r="BN4" s="14" t="s">
        <v>70</v>
      </c>
      <c r="BO4" s="14" t="s">
        <v>12</v>
      </c>
    </row>
    <row r="5" spans="1:67" s="9" customFormat="1" ht="13" customHeight="1" x14ac:dyDescent="0.2">
      <c r="A5" s="15" t="s">
        <v>66</v>
      </c>
      <c r="B5" s="8">
        <v>2.7</v>
      </c>
      <c r="D5" s="38">
        <v>0</v>
      </c>
      <c r="E5" s="41">
        <f>Zero_date</f>
        <v>43831</v>
      </c>
      <c r="F5" s="16"/>
      <c r="G5" s="17" t="str">
        <f>IF(OR(I5&lt;10,ISBLANK(I6)),"",I6/I5)</f>
        <v/>
      </c>
      <c r="H5" s="40">
        <f t="shared" ref="H5:H41" si="0">IF(IF(OR(J5=0,ISBLANK(J6)),"",J6/J5)="","",IF(IF(OR(J5=0,ISBLANK(J6)),"",J6/J5)&lt;=1,"∞",Serial*(LN(2)/LN(IF(OR(J5=0,ISBLANK(J6)),"",J6/J5)))))</f>
        <v>2.5</v>
      </c>
      <c r="I5" s="16">
        <f>Initial_cases</f>
        <v>1</v>
      </c>
      <c r="J5" s="16">
        <f>SUM(I$5:I5)</f>
        <v>1</v>
      </c>
      <c r="K5" s="16"/>
      <c r="L5" s="18" t="str">
        <f ca="1">IF(OR(N5&lt;10,ISBLANK(N6)),"",N6/N5)</f>
        <v/>
      </c>
      <c r="M5" s="40" t="str">
        <f t="shared" ref="M5:M40" ca="1" si="1">IF(IF(OR(O5=0,ISBLANK(O6)),"",O6/O5)="","",IF(IF(OR(O5=0,ISBLANK(O6)),"",O6/O5)&lt;=1,"∞",Serial*(LN(2)/LN(IF(OR(O5=0,ISBLANK(O6)),"",O6/O5)))))</f>
        <v/>
      </c>
      <c r="N5" s="16">
        <f t="shared" ref="N5:N40" ca="1" si="2">IF(ISERROR(OFFSET(BM5,-Delay,0)*1),0,OFFSET(BM5,-Delay,0))</f>
        <v>0</v>
      </c>
      <c r="O5" s="16">
        <f ca="1">SUM(N$5:N5)</f>
        <v>0</v>
      </c>
      <c r="P5" s="16"/>
      <c r="Q5" s="19">
        <f ca="1">O5/J5</f>
        <v>0</v>
      </c>
      <c r="R5" s="16"/>
      <c r="S5" s="16">
        <f t="shared" ref="S5:S41" ca="1" si="3">IF(ISERROR(OFFSET(BA5,-Delay,0)+OFFSET(BB5,-Delay,0)+OFFSET(BC5,-Delay,0)),0,OFFSET(BA5,-Delay,0)+OFFSET(BB5,-Delay,0)+OFFSET(BC5,-Delay,0))</f>
        <v>0</v>
      </c>
      <c r="T5" s="19" t="str">
        <f ca="1">IF(S5=0,"",N5/S5)</f>
        <v/>
      </c>
      <c r="U5" s="35"/>
      <c r="V5" s="30">
        <f t="shared" ref="V5:V41" si="4">IF(AND(D5&gt;=Begin_lockdown,Begin_lockdown&lt;&gt;""),Ro_lockdown,IF(AND(D5&gt;=Begin_intermediate,Begin_intermediate&lt;&gt;""),Ro_intermediate,Ro_uncontrolled))</f>
        <v>2.7</v>
      </c>
      <c r="W5" s="16">
        <f t="shared" ref="W5:W41" si="5">Population-J5</f>
        <v>9999999</v>
      </c>
      <c r="X5" s="16"/>
      <c r="Y5" s="16">
        <f t="shared" ref="Y5:Y41" si="6">ROUND(I5*(1-Pct_asy-Pct_mild),0)</f>
        <v>0</v>
      </c>
      <c r="Z5" s="16">
        <f t="shared" ref="Z5:Z41" si="7">ROUND(I5*Pct_mild,0)</f>
        <v>1</v>
      </c>
      <c r="AA5" s="16">
        <f t="shared" ref="AA5:AA41" si="8">I5-Y5-Z5</f>
        <v>0</v>
      </c>
      <c r="AB5" s="16"/>
      <c r="AC5" s="16">
        <f t="shared" ref="AC5:AC41" si="9">ROUND((Population-SUM(Y5:AA5))*(Faux_severe),0)+Y5</f>
        <v>10000</v>
      </c>
      <c r="AD5" s="16">
        <f t="shared" ref="AD5:AD41" si="10">ROUND((Population-SUM(Y5:AA5))*(Faux_mild),0)+Z5</f>
        <v>250001</v>
      </c>
      <c r="AE5" s="16">
        <f t="shared" ref="AE5:AE41" si="11">Population-AC5-AD5</f>
        <v>9739999</v>
      </c>
      <c r="AF5" s="16"/>
      <c r="AG5" s="16">
        <f>ROUND(AC5*Desire_severe,0)</f>
        <v>10000</v>
      </c>
      <c r="AH5" s="16">
        <f>ROUND(AD5*Desire_mild,0)</f>
        <v>125001</v>
      </c>
      <c r="AI5" s="16">
        <f t="shared" ref="AI5" si="12">ROUND(AE5*Desire_asy,0)</f>
        <v>194800</v>
      </c>
      <c r="AJ5" s="16"/>
      <c r="AK5" s="16">
        <v>0</v>
      </c>
      <c r="AL5" s="16">
        <f t="shared" ref="AL5:AL35" si="13">ROUND(AK5*Rationed_tests,0)</f>
        <v>0</v>
      </c>
      <c r="AM5" s="16">
        <f>AK5-AL5</f>
        <v>0</v>
      </c>
      <c r="AN5" s="16"/>
      <c r="AO5" s="16">
        <f>MIN(AL5,AG5)</f>
        <v>0</v>
      </c>
      <c r="AP5" s="16">
        <f>MIN(AH5,AL5-AO5)</f>
        <v>0</v>
      </c>
      <c r="AQ5" s="16">
        <f>MIN(AI5,AL5-AO5-AP5)</f>
        <v>0</v>
      </c>
      <c r="AR5" s="16"/>
      <c r="AS5" s="16">
        <f>AG5-AO5</f>
        <v>10000</v>
      </c>
      <c r="AT5" s="16">
        <f t="shared" ref="AT5:AU20" si="14">AH5-AP5</f>
        <v>125001</v>
      </c>
      <c r="AU5" s="16">
        <f t="shared" si="14"/>
        <v>194800</v>
      </c>
      <c r="AV5" s="16"/>
      <c r="AW5" s="16">
        <f>IF(SUM($AS5:$AU5)=0,0,ROUND($AM5*AS5/SUM($AS5:$AU5),0))</f>
        <v>0</v>
      </c>
      <c r="AX5" s="16">
        <f t="shared" ref="AX5:AX41" si="15">IF(SUM($AS5:$AU5)=0,0,ROUND($AM5*AT5/SUM($AS5:$AU5),0))</f>
        <v>0</v>
      </c>
      <c r="AY5" s="16">
        <f>IF(SUM($AS5:$AU5)=0,0,MIN(AU5,AM5-AW5-AX5))</f>
        <v>0</v>
      </c>
      <c r="AZ5" s="16"/>
      <c r="BA5" s="16">
        <f>AW5+AO5</f>
        <v>0</v>
      </c>
      <c r="BB5" s="16">
        <f t="shared" ref="BB5:BC20" si="16">AX5+AP5</f>
        <v>0</v>
      </c>
      <c r="BC5" s="16">
        <f t="shared" si="16"/>
        <v>0</v>
      </c>
      <c r="BD5" s="16"/>
      <c r="BE5" s="20">
        <f>Y5/AC5</f>
        <v>0</v>
      </c>
      <c r="BF5" s="20">
        <f t="shared" ref="BF5:BG20" si="17">Z5/AD5</f>
        <v>3.9999840000639995E-6</v>
      </c>
      <c r="BG5" s="20">
        <f t="shared" si="17"/>
        <v>0</v>
      </c>
      <c r="BH5" s="16"/>
      <c r="BI5" s="16">
        <f t="shared" ref="BI5:BI40" si="18">ROUND(BA5*BE5*(1-False_negative),0)+ROUND(BA5*(1-BE5)*(False_positive),0)</f>
        <v>0</v>
      </c>
      <c r="BJ5" s="16">
        <f t="shared" ref="BJ5:BJ40" si="19">ROUND(BB5*BF5*(1-False_negative),0)+ROUND(BB5*(1-BF5)*(False_positive),0)</f>
        <v>0</v>
      </c>
      <c r="BK5" s="16">
        <f t="shared" ref="BK5:BK40" si="20">ROUND(BC5*BG5*(1-False_negative),0)+ROUND(BC5*(1-BG5)*(False_positive),0)</f>
        <v>0</v>
      </c>
      <c r="BL5" s="16"/>
      <c r="BM5" s="16">
        <f>BI5+BJ5+BK5</f>
        <v>0</v>
      </c>
      <c r="BN5" s="21"/>
      <c r="BO5" s="21"/>
    </row>
    <row r="6" spans="1:67" s="9" customFormat="1" ht="13" customHeight="1" x14ac:dyDescent="0.2">
      <c r="A6" s="15" t="s">
        <v>67</v>
      </c>
      <c r="B6" s="8">
        <v>1.4</v>
      </c>
      <c r="D6" s="38">
        <f>D5+1</f>
        <v>1</v>
      </c>
      <c r="E6" s="41">
        <f t="shared" ref="E6:E41" si="21">E5+Serial</f>
        <v>43836</v>
      </c>
      <c r="F6" s="16"/>
      <c r="G6" s="17" t="str">
        <f t="shared" ref="G6:G41" si="22">IF(OR(I6&lt;10,ISBLANK(I7)),"",I7/I6)</f>
        <v/>
      </c>
      <c r="H6" s="40">
        <f t="shared" si="0"/>
        <v>3.154648767857287</v>
      </c>
      <c r="I6" s="16">
        <f t="shared" ref="I6:I41" si="23">ROUND(W5*(1-(1-((V5*(1-J5/Population)^VLOOKUP(Cluster,Cluster_vlookup,2,0))/Population))^I5),0)</f>
        <v>3</v>
      </c>
      <c r="J6" s="16">
        <f>SUM(I$5:I6)</f>
        <v>4</v>
      </c>
      <c r="K6" s="16"/>
      <c r="L6" s="18" t="str">
        <f t="shared" ref="L6:L41" ca="1" si="24">IF(OR(N6&lt;10,ISBLANK(N7)),"",N7/N6)</f>
        <v/>
      </c>
      <c r="M6" s="40" t="str">
        <f t="shared" ca="1" si="1"/>
        <v/>
      </c>
      <c r="N6" s="16">
        <f t="shared" ca="1" si="2"/>
        <v>0</v>
      </c>
      <c r="O6" s="16">
        <f ca="1">SUM(N$5:N6)</f>
        <v>0</v>
      </c>
      <c r="P6" s="16"/>
      <c r="Q6" s="19">
        <f t="shared" ref="Q6:Q41" ca="1" si="25">O6/J6</f>
        <v>0</v>
      </c>
      <c r="R6" s="16"/>
      <c r="S6" s="16">
        <f t="shared" ca="1" si="3"/>
        <v>0</v>
      </c>
      <c r="T6" s="19" t="str">
        <f t="shared" ref="T6:T41" ca="1" si="26">IF(S6=0,"",N6/S6)</f>
        <v/>
      </c>
      <c r="U6" s="35"/>
      <c r="V6" s="30">
        <f t="shared" si="4"/>
        <v>2.7</v>
      </c>
      <c r="W6" s="16">
        <f t="shared" si="5"/>
        <v>9999996</v>
      </c>
      <c r="X6" s="16"/>
      <c r="Y6" s="16">
        <f t="shared" si="6"/>
        <v>0</v>
      </c>
      <c r="Z6" s="16">
        <f t="shared" si="7"/>
        <v>2</v>
      </c>
      <c r="AA6" s="16">
        <f t="shared" si="8"/>
        <v>1</v>
      </c>
      <c r="AB6" s="16"/>
      <c r="AC6" s="16">
        <f t="shared" si="9"/>
        <v>10000</v>
      </c>
      <c r="AD6" s="16">
        <f t="shared" si="10"/>
        <v>250002</v>
      </c>
      <c r="AE6" s="16">
        <f t="shared" si="11"/>
        <v>9739998</v>
      </c>
      <c r="AF6" s="16"/>
      <c r="AG6" s="16">
        <f>ROUND(AC6*Desire_severe*(1-SUM($BA$5:$BC5)/Population),0)</f>
        <v>10000</v>
      </c>
      <c r="AH6" s="16">
        <f>ROUND(AD6*Desire_mild*(1-SUM($BA$5:$BC5)/Population),0)</f>
        <v>125001</v>
      </c>
      <c r="AI6" s="16">
        <f>ROUND(AE6*Desire_asy*(1-SUM($BA$5:$BC5)/Population),0)</f>
        <v>194800</v>
      </c>
      <c r="AJ6" s="16"/>
      <c r="AK6" s="16">
        <f>Initial_tests</f>
        <v>10000</v>
      </c>
      <c r="AL6" s="16">
        <f t="shared" si="13"/>
        <v>10000</v>
      </c>
      <c r="AM6" s="16">
        <f t="shared" ref="AM6:AM41" si="27">AK6-AL6</f>
        <v>0</v>
      </c>
      <c r="AN6" s="16"/>
      <c r="AO6" s="16">
        <f>MIN(AL6,AG6)</f>
        <v>10000</v>
      </c>
      <c r="AP6" s="16">
        <f>MIN(AH6,AL6-AO6)</f>
        <v>0</v>
      </c>
      <c r="AQ6" s="16">
        <f t="shared" ref="AQ6:AQ41" si="28">MIN(AI6,AL6-AO6-AP6)</f>
        <v>0</v>
      </c>
      <c r="AR6" s="16"/>
      <c r="AS6" s="16">
        <f>AG6-AO6</f>
        <v>0</v>
      </c>
      <c r="AT6" s="16">
        <f t="shared" si="14"/>
        <v>125001</v>
      </c>
      <c r="AU6" s="16">
        <f t="shared" si="14"/>
        <v>194800</v>
      </c>
      <c r="AV6" s="16"/>
      <c r="AW6" s="16">
        <f t="shared" ref="AW6:AW41" si="29">IF(SUM($AS6:$AU6)=0,0,ROUND($AM6*AS6/SUM($AS6:$AU6),0))</f>
        <v>0</v>
      </c>
      <c r="AX6" s="16">
        <f t="shared" si="15"/>
        <v>0</v>
      </c>
      <c r="AY6" s="16">
        <f t="shared" ref="AY6:AY41" si="30">IF(SUM($AS6:$AU6)=0,0,MIN(AU6,AM6-AW6-AX6))</f>
        <v>0</v>
      </c>
      <c r="AZ6" s="16"/>
      <c r="BA6" s="16">
        <f t="shared" ref="BA6:BC35" si="31">AW6+AO6</f>
        <v>10000</v>
      </c>
      <c r="BB6" s="16">
        <f t="shared" si="16"/>
        <v>0</v>
      </c>
      <c r="BC6" s="16">
        <f t="shared" si="16"/>
        <v>0</v>
      </c>
      <c r="BD6" s="16"/>
      <c r="BE6" s="20">
        <f t="shared" ref="BE6:BG35" si="32">Y6/AC6</f>
        <v>0</v>
      </c>
      <c r="BF6" s="20">
        <f t="shared" si="17"/>
        <v>7.9999360005119954E-6</v>
      </c>
      <c r="BG6" s="20">
        <f t="shared" si="17"/>
        <v>1.0266942559947138E-7</v>
      </c>
      <c r="BH6" s="16"/>
      <c r="BI6" s="16">
        <f t="shared" si="18"/>
        <v>20</v>
      </c>
      <c r="BJ6" s="16">
        <f t="shared" si="19"/>
        <v>0</v>
      </c>
      <c r="BK6" s="16">
        <f t="shared" si="20"/>
        <v>0</v>
      </c>
      <c r="BL6" s="16"/>
      <c r="BM6" s="16">
        <f t="shared" ref="BM6:BM41" si="33">BI6+BJ6+BK6</f>
        <v>20</v>
      </c>
      <c r="BN6" s="21" t="str">
        <f>IF(BM5=0,"",BM6/BM5)</f>
        <v/>
      </c>
      <c r="BO6" s="21"/>
    </row>
    <row r="7" spans="1:67" s="9" customFormat="1" ht="13" customHeight="1" x14ac:dyDescent="0.2">
      <c r="A7" s="15" t="s">
        <v>68</v>
      </c>
      <c r="B7" s="8">
        <v>0.7</v>
      </c>
      <c r="D7" s="38">
        <f t="shared" ref="D7:D41" si="34">D6+1</f>
        <v>2</v>
      </c>
      <c r="E7" s="41">
        <f t="shared" si="21"/>
        <v>43841</v>
      </c>
      <c r="F7" s="16"/>
      <c r="G7" s="17" t="str">
        <f t="shared" si="22"/>
        <v/>
      </c>
      <c r="H7" s="40">
        <f t="shared" si="0"/>
        <v>3.3277862674154139</v>
      </c>
      <c r="I7" s="16">
        <f t="shared" si="23"/>
        <v>8</v>
      </c>
      <c r="J7" s="16">
        <f>SUM(I$5:I7)</f>
        <v>12</v>
      </c>
      <c r="K7" s="16"/>
      <c r="L7" s="18" t="str">
        <f t="shared" ca="1" si="24"/>
        <v/>
      </c>
      <c r="M7" s="40" t="str">
        <f t="shared" ca="1" si="1"/>
        <v/>
      </c>
      <c r="N7" s="16">
        <f t="shared" ca="1" si="2"/>
        <v>0</v>
      </c>
      <c r="O7" s="16">
        <f ca="1">SUM(N$5:N7)</f>
        <v>0</v>
      </c>
      <c r="P7" s="16"/>
      <c r="Q7" s="19">
        <f t="shared" ca="1" si="25"/>
        <v>0</v>
      </c>
      <c r="R7" s="16"/>
      <c r="S7" s="16">
        <f t="shared" ca="1" si="3"/>
        <v>0</v>
      </c>
      <c r="T7" s="19" t="str">
        <f t="shared" ca="1" si="26"/>
        <v/>
      </c>
      <c r="U7" s="35"/>
      <c r="V7" s="30">
        <f t="shared" si="4"/>
        <v>2.7</v>
      </c>
      <c r="W7" s="16">
        <f t="shared" si="5"/>
        <v>9999988</v>
      </c>
      <c r="X7" s="16"/>
      <c r="Y7" s="16">
        <f t="shared" si="6"/>
        <v>1</v>
      </c>
      <c r="Z7" s="16">
        <f t="shared" si="7"/>
        <v>5</v>
      </c>
      <c r="AA7" s="16">
        <f t="shared" si="8"/>
        <v>2</v>
      </c>
      <c r="AB7" s="16"/>
      <c r="AC7" s="16">
        <f t="shared" si="9"/>
        <v>10001</v>
      </c>
      <c r="AD7" s="16">
        <f t="shared" si="10"/>
        <v>250005</v>
      </c>
      <c r="AE7" s="16">
        <f t="shared" si="11"/>
        <v>9739994</v>
      </c>
      <c r="AF7" s="16"/>
      <c r="AG7" s="16">
        <f>ROUND(AC7*Desire_severe*(1-SUM($BA$5:$BC6)/Population),0)</f>
        <v>9991</v>
      </c>
      <c r="AH7" s="16">
        <f>ROUND(AD7*Desire_mild*(1-SUM($BA$5:$BC6)/Population),0)</f>
        <v>124877</v>
      </c>
      <c r="AI7" s="16">
        <f>ROUND(AE7*Desire_asy*(1-SUM($BA$5:$BC6)/Population),0)</f>
        <v>194605</v>
      </c>
      <c r="AJ7" s="16"/>
      <c r="AK7" s="16">
        <f t="shared" ref="AK7:AK41" si="35">ROUND(IF(D7&gt;=Ramp_period,MIN(Tests_max,AK6*Test_growth_rate+AK6),AK6),0)</f>
        <v>10300</v>
      </c>
      <c r="AL7" s="16">
        <f t="shared" si="13"/>
        <v>10300</v>
      </c>
      <c r="AM7" s="16">
        <f t="shared" si="27"/>
        <v>0</v>
      </c>
      <c r="AN7" s="16"/>
      <c r="AO7" s="16">
        <f t="shared" ref="AO7:AO41" si="36">MIN(AL7,AG7)</f>
        <v>9991</v>
      </c>
      <c r="AP7" s="16">
        <f t="shared" ref="AP7:AP41" si="37">MIN(AH7,AL7-AO7)</f>
        <v>309</v>
      </c>
      <c r="AQ7" s="16">
        <f t="shared" si="28"/>
        <v>0</v>
      </c>
      <c r="AR7" s="16"/>
      <c r="AS7" s="16">
        <f t="shared" ref="AS7:AU35" si="38">AG7-AO7</f>
        <v>0</v>
      </c>
      <c r="AT7" s="16">
        <f t="shared" si="14"/>
        <v>124568</v>
      </c>
      <c r="AU7" s="16">
        <f t="shared" si="14"/>
        <v>194605</v>
      </c>
      <c r="AV7" s="16"/>
      <c r="AW7" s="16">
        <f t="shared" si="29"/>
        <v>0</v>
      </c>
      <c r="AX7" s="16">
        <f t="shared" si="15"/>
        <v>0</v>
      </c>
      <c r="AY7" s="16">
        <f t="shared" si="30"/>
        <v>0</v>
      </c>
      <c r="AZ7" s="16"/>
      <c r="BA7" s="16">
        <f t="shared" si="31"/>
        <v>9991</v>
      </c>
      <c r="BB7" s="16">
        <f t="shared" si="16"/>
        <v>309</v>
      </c>
      <c r="BC7" s="16">
        <f t="shared" si="16"/>
        <v>0</v>
      </c>
      <c r="BD7" s="16"/>
      <c r="BE7" s="20">
        <f t="shared" si="32"/>
        <v>9.9990000999900015E-5</v>
      </c>
      <c r="BF7" s="20">
        <f t="shared" si="17"/>
        <v>1.9999600007999841E-5</v>
      </c>
      <c r="BG7" s="20">
        <f t="shared" si="17"/>
        <v>2.0533893552706502E-7</v>
      </c>
      <c r="BH7" s="16"/>
      <c r="BI7" s="16">
        <f t="shared" si="18"/>
        <v>21</v>
      </c>
      <c r="BJ7" s="16">
        <f t="shared" si="19"/>
        <v>1</v>
      </c>
      <c r="BK7" s="16">
        <f t="shared" si="20"/>
        <v>0</v>
      </c>
      <c r="BL7" s="16"/>
      <c r="BM7" s="16">
        <f t="shared" si="33"/>
        <v>22</v>
      </c>
      <c r="BN7" s="22">
        <f t="shared" ref="BN7:BN41" si="39">IF(BM6=0,"",BM7/BM6)</f>
        <v>1.1000000000000001</v>
      </c>
      <c r="BO7" s="19">
        <f>BM7/SUM(BA7:BC7)</f>
        <v>2.1359223300970874E-3</v>
      </c>
    </row>
    <row r="8" spans="1:67" s="9" customFormat="1" ht="13" customHeight="1" x14ac:dyDescent="0.2">
      <c r="A8" s="15" t="s">
        <v>69</v>
      </c>
      <c r="B8" s="8" t="s">
        <v>32</v>
      </c>
      <c r="D8" s="38">
        <f t="shared" si="34"/>
        <v>3</v>
      </c>
      <c r="E8" s="41">
        <f t="shared" si="21"/>
        <v>43846</v>
      </c>
      <c r="F8" s="16"/>
      <c r="G8" s="17">
        <f t="shared" si="22"/>
        <v>2.6818181818181817</v>
      </c>
      <c r="H8" s="40">
        <f t="shared" si="0"/>
        <v>3.4442473519370203</v>
      </c>
      <c r="I8" s="16">
        <f t="shared" si="23"/>
        <v>22</v>
      </c>
      <c r="J8" s="16">
        <f>SUM(I$5:I8)</f>
        <v>34</v>
      </c>
      <c r="K8" s="16"/>
      <c r="L8" s="18">
        <f t="shared" ca="1" si="24"/>
        <v>1.1000000000000001</v>
      </c>
      <c r="M8" s="40">
        <f t="shared" ca="1" si="1"/>
        <v>4.6711975444016209</v>
      </c>
      <c r="N8" s="16">
        <f t="shared" ca="1" si="2"/>
        <v>20</v>
      </c>
      <c r="O8" s="16">
        <f ca="1">SUM(N$5:N8)</f>
        <v>20</v>
      </c>
      <c r="P8" s="16"/>
      <c r="Q8" s="19">
        <f t="shared" ca="1" si="25"/>
        <v>0.58823529411764708</v>
      </c>
      <c r="R8" s="16"/>
      <c r="S8" s="16">
        <f t="shared" ca="1" si="3"/>
        <v>10000</v>
      </c>
      <c r="T8" s="19">
        <f t="shared" ca="1" si="26"/>
        <v>2E-3</v>
      </c>
      <c r="U8" s="35"/>
      <c r="V8" s="30">
        <f t="shared" si="4"/>
        <v>2.7</v>
      </c>
      <c r="W8" s="16">
        <f t="shared" si="5"/>
        <v>9999966</v>
      </c>
      <c r="X8" s="16"/>
      <c r="Y8" s="16">
        <f t="shared" si="6"/>
        <v>2</v>
      </c>
      <c r="Z8" s="16">
        <f t="shared" si="7"/>
        <v>13</v>
      </c>
      <c r="AA8" s="16">
        <f t="shared" si="8"/>
        <v>7</v>
      </c>
      <c r="AB8" s="16"/>
      <c r="AC8" s="16">
        <f t="shared" si="9"/>
        <v>10002</v>
      </c>
      <c r="AD8" s="16">
        <f t="shared" si="10"/>
        <v>250012</v>
      </c>
      <c r="AE8" s="16">
        <f t="shared" si="11"/>
        <v>9739986</v>
      </c>
      <c r="AF8" s="16"/>
      <c r="AG8" s="16">
        <f>ROUND(AC8*Desire_severe*(1-SUM($BA$5:$BC7)/Population),0)</f>
        <v>9982</v>
      </c>
      <c r="AH8" s="16">
        <f>ROUND(AD8*Desire_mild*(1-SUM($BA$5:$BC7)/Population),0)</f>
        <v>124752</v>
      </c>
      <c r="AI8" s="16">
        <f>ROUND(AE8*Desire_asy*(1-SUM($BA$5:$BC7)/Population),0)</f>
        <v>194404</v>
      </c>
      <c r="AJ8" s="16"/>
      <c r="AK8" s="16">
        <f t="shared" si="35"/>
        <v>10609</v>
      </c>
      <c r="AL8" s="16">
        <f t="shared" si="13"/>
        <v>10609</v>
      </c>
      <c r="AM8" s="16">
        <f t="shared" si="27"/>
        <v>0</v>
      </c>
      <c r="AN8" s="16"/>
      <c r="AO8" s="16">
        <f t="shared" si="36"/>
        <v>9982</v>
      </c>
      <c r="AP8" s="16">
        <f t="shared" si="37"/>
        <v>627</v>
      </c>
      <c r="AQ8" s="16">
        <f t="shared" si="28"/>
        <v>0</v>
      </c>
      <c r="AR8" s="16"/>
      <c r="AS8" s="16">
        <f t="shared" si="38"/>
        <v>0</v>
      </c>
      <c r="AT8" s="16">
        <f t="shared" si="14"/>
        <v>124125</v>
      </c>
      <c r="AU8" s="16">
        <f t="shared" si="14"/>
        <v>194404</v>
      </c>
      <c r="AV8" s="16"/>
      <c r="AW8" s="16">
        <f t="shared" si="29"/>
        <v>0</v>
      </c>
      <c r="AX8" s="16">
        <f t="shared" si="15"/>
        <v>0</v>
      </c>
      <c r="AY8" s="16">
        <f t="shared" si="30"/>
        <v>0</v>
      </c>
      <c r="AZ8" s="16"/>
      <c r="BA8" s="16">
        <f t="shared" si="31"/>
        <v>9982</v>
      </c>
      <c r="BB8" s="16">
        <f t="shared" si="16"/>
        <v>627</v>
      </c>
      <c r="BC8" s="16">
        <f t="shared" si="16"/>
        <v>0</v>
      </c>
      <c r="BD8" s="16"/>
      <c r="BE8" s="20">
        <f t="shared" si="32"/>
        <v>1.9996000799840031E-4</v>
      </c>
      <c r="BF8" s="20">
        <f t="shared" si="17"/>
        <v>5.1997504119802249E-5</v>
      </c>
      <c r="BG8" s="20">
        <f t="shared" si="17"/>
        <v>7.1868686464231058E-7</v>
      </c>
      <c r="BH8" s="16"/>
      <c r="BI8" s="16">
        <f t="shared" si="18"/>
        <v>22</v>
      </c>
      <c r="BJ8" s="16">
        <f t="shared" si="19"/>
        <v>1</v>
      </c>
      <c r="BK8" s="16">
        <f t="shared" si="20"/>
        <v>0</v>
      </c>
      <c r="BL8" s="16"/>
      <c r="BM8" s="16">
        <f t="shared" si="33"/>
        <v>23</v>
      </c>
      <c r="BN8" s="22">
        <f t="shared" si="39"/>
        <v>1.0454545454545454</v>
      </c>
      <c r="BO8" s="19">
        <f t="shared" ref="BO8:BO35" si="40">BM8/SUM(BA8:BC8)</f>
        <v>2.1679705910076352E-3</v>
      </c>
    </row>
    <row r="9" spans="1:67" s="9" customFormat="1" ht="13" customHeight="1" x14ac:dyDescent="0.15">
      <c r="B9" s="8"/>
      <c r="D9" s="38">
        <f t="shared" si="34"/>
        <v>4</v>
      </c>
      <c r="E9" s="41">
        <f t="shared" si="21"/>
        <v>43851</v>
      </c>
      <c r="F9" s="16"/>
      <c r="G9" s="17">
        <f t="shared" si="22"/>
        <v>2.6949152542372881</v>
      </c>
      <c r="H9" s="40">
        <f t="shared" si="0"/>
        <v>3.476758638000935</v>
      </c>
      <c r="I9" s="16">
        <f t="shared" si="23"/>
        <v>59</v>
      </c>
      <c r="J9" s="16">
        <f>SUM(I$5:I9)</f>
        <v>93</v>
      </c>
      <c r="K9" s="16"/>
      <c r="L9" s="18">
        <f t="shared" ca="1" si="24"/>
        <v>1.0454545454545454</v>
      </c>
      <c r="M9" s="40">
        <f t="shared" ca="1" si="1"/>
        <v>7.935873189473714</v>
      </c>
      <c r="N9" s="16">
        <f t="shared" ca="1" si="2"/>
        <v>22</v>
      </c>
      <c r="O9" s="16">
        <f ca="1">SUM(N$5:N9)</f>
        <v>42</v>
      </c>
      <c r="P9" s="16"/>
      <c r="Q9" s="19">
        <f t="shared" ca="1" si="25"/>
        <v>0.45161290322580644</v>
      </c>
      <c r="R9" s="16"/>
      <c r="S9" s="16">
        <f t="shared" ca="1" si="3"/>
        <v>10300</v>
      </c>
      <c r="T9" s="19">
        <f t="shared" ca="1" si="26"/>
        <v>2.1359223300970874E-3</v>
      </c>
      <c r="U9" s="35"/>
      <c r="V9" s="30">
        <f t="shared" si="4"/>
        <v>2.7</v>
      </c>
      <c r="W9" s="16">
        <f t="shared" si="5"/>
        <v>9999907</v>
      </c>
      <c r="X9" s="16"/>
      <c r="Y9" s="16">
        <f t="shared" si="6"/>
        <v>6</v>
      </c>
      <c r="Z9" s="16">
        <f t="shared" si="7"/>
        <v>35</v>
      </c>
      <c r="AA9" s="16">
        <f t="shared" si="8"/>
        <v>18</v>
      </c>
      <c r="AB9" s="16"/>
      <c r="AC9" s="16">
        <f t="shared" si="9"/>
        <v>10006</v>
      </c>
      <c r="AD9" s="16">
        <f t="shared" si="10"/>
        <v>250034</v>
      </c>
      <c r="AE9" s="16">
        <f t="shared" si="11"/>
        <v>9739960</v>
      </c>
      <c r="AF9" s="16"/>
      <c r="AG9" s="16">
        <f>ROUND(AC9*Desire_severe*(1-SUM($BA$5:$BC8)/Population),0)</f>
        <v>9975</v>
      </c>
      <c r="AH9" s="16">
        <f>ROUND(AD9*Desire_mild*(1-SUM($BA$5:$BC8)/Population),0)</f>
        <v>124631</v>
      </c>
      <c r="AI9" s="16">
        <f>ROUND(AE9*Desire_asy*(1-SUM($BA$5:$BC8)/Population),0)</f>
        <v>194197</v>
      </c>
      <c r="AJ9" s="16"/>
      <c r="AK9" s="16">
        <f t="shared" si="35"/>
        <v>10927</v>
      </c>
      <c r="AL9" s="16">
        <f t="shared" si="13"/>
        <v>10927</v>
      </c>
      <c r="AM9" s="16">
        <f t="shared" si="27"/>
        <v>0</v>
      </c>
      <c r="AN9" s="16"/>
      <c r="AO9" s="16">
        <f t="shared" si="36"/>
        <v>9975</v>
      </c>
      <c r="AP9" s="16">
        <f t="shared" si="37"/>
        <v>952</v>
      </c>
      <c r="AQ9" s="16">
        <f t="shared" si="28"/>
        <v>0</v>
      </c>
      <c r="AR9" s="16"/>
      <c r="AS9" s="16">
        <f t="shared" si="38"/>
        <v>0</v>
      </c>
      <c r="AT9" s="16">
        <f t="shared" si="14"/>
        <v>123679</v>
      </c>
      <c r="AU9" s="16">
        <f t="shared" si="14"/>
        <v>194197</v>
      </c>
      <c r="AV9" s="16"/>
      <c r="AW9" s="16">
        <f t="shared" si="29"/>
        <v>0</v>
      </c>
      <c r="AX9" s="16">
        <f t="shared" si="15"/>
        <v>0</v>
      </c>
      <c r="AY9" s="16">
        <f t="shared" si="30"/>
        <v>0</v>
      </c>
      <c r="AZ9" s="16"/>
      <c r="BA9" s="16">
        <f t="shared" si="31"/>
        <v>9975</v>
      </c>
      <c r="BB9" s="16">
        <f t="shared" si="16"/>
        <v>952</v>
      </c>
      <c r="BC9" s="16">
        <f t="shared" si="16"/>
        <v>0</v>
      </c>
      <c r="BD9" s="16"/>
      <c r="BE9" s="20">
        <f t="shared" si="32"/>
        <v>5.9964021587047766E-4</v>
      </c>
      <c r="BF9" s="20">
        <f t="shared" si="17"/>
        <v>1.3998096258908789E-4</v>
      </c>
      <c r="BG9" s="20">
        <f t="shared" si="17"/>
        <v>1.8480568708701063E-6</v>
      </c>
      <c r="BH9" s="16"/>
      <c r="BI9" s="16">
        <f t="shared" si="18"/>
        <v>25</v>
      </c>
      <c r="BJ9" s="16">
        <f t="shared" si="19"/>
        <v>2</v>
      </c>
      <c r="BK9" s="16">
        <f t="shared" si="20"/>
        <v>0</v>
      </c>
      <c r="BL9" s="16"/>
      <c r="BM9" s="16">
        <f t="shared" si="33"/>
        <v>27</v>
      </c>
      <c r="BN9" s="22">
        <f t="shared" si="39"/>
        <v>1.173913043478261</v>
      </c>
      <c r="BO9" s="19">
        <f t="shared" si="40"/>
        <v>2.4709435343644184E-3</v>
      </c>
    </row>
    <row r="10" spans="1:67" s="9" customFormat="1" ht="13" customHeight="1" x14ac:dyDescent="0.15">
      <c r="A10" s="15" t="s">
        <v>60</v>
      </c>
      <c r="B10" s="8">
        <v>11</v>
      </c>
      <c r="D10" s="38">
        <f t="shared" si="34"/>
        <v>5</v>
      </c>
      <c r="E10" s="41">
        <f t="shared" si="21"/>
        <v>43856</v>
      </c>
      <c r="F10" s="16"/>
      <c r="G10" s="17">
        <f t="shared" si="22"/>
        <v>2.6981132075471699</v>
      </c>
      <c r="H10" s="40">
        <f t="shared" si="0"/>
        <v>3.486188609156029</v>
      </c>
      <c r="I10" s="16">
        <f t="shared" si="23"/>
        <v>159</v>
      </c>
      <c r="J10" s="16">
        <f>SUM(I$5:I10)</f>
        <v>252</v>
      </c>
      <c r="K10" s="16"/>
      <c r="L10" s="18">
        <f t="shared" ca="1" si="24"/>
        <v>1.173913043478261</v>
      </c>
      <c r="M10" s="40">
        <f t="shared" ca="1" si="1"/>
        <v>9.976174042630614</v>
      </c>
      <c r="N10" s="16">
        <f t="shared" ca="1" si="2"/>
        <v>23</v>
      </c>
      <c r="O10" s="16">
        <f ca="1">SUM(N$5:N10)</f>
        <v>65</v>
      </c>
      <c r="P10" s="16"/>
      <c r="Q10" s="19">
        <f t="shared" ca="1" si="25"/>
        <v>0.25793650793650796</v>
      </c>
      <c r="R10" s="16"/>
      <c r="S10" s="16">
        <f t="shared" ca="1" si="3"/>
        <v>10609</v>
      </c>
      <c r="T10" s="19">
        <f t="shared" ca="1" si="26"/>
        <v>2.1679705910076352E-3</v>
      </c>
      <c r="U10" s="35"/>
      <c r="V10" s="30">
        <f t="shared" si="4"/>
        <v>2.7</v>
      </c>
      <c r="W10" s="16">
        <f t="shared" si="5"/>
        <v>9999748</v>
      </c>
      <c r="X10" s="16"/>
      <c r="Y10" s="16">
        <f t="shared" si="6"/>
        <v>16</v>
      </c>
      <c r="Z10" s="16">
        <f t="shared" si="7"/>
        <v>95</v>
      </c>
      <c r="AA10" s="16">
        <f t="shared" si="8"/>
        <v>48</v>
      </c>
      <c r="AB10" s="16"/>
      <c r="AC10" s="16">
        <f t="shared" si="9"/>
        <v>10016</v>
      </c>
      <c r="AD10" s="16">
        <f t="shared" si="10"/>
        <v>250091</v>
      </c>
      <c r="AE10" s="16">
        <f t="shared" si="11"/>
        <v>9739893</v>
      </c>
      <c r="AF10" s="16"/>
      <c r="AG10" s="16">
        <f>ROUND(AC10*Desire_severe*(1-SUM($BA$5:$BC9)/Population),0)</f>
        <v>9974</v>
      </c>
      <c r="AH10" s="16">
        <f>ROUND(AD10*Desire_mild*(1-SUM($BA$5:$BC9)/Population),0)</f>
        <v>124522</v>
      </c>
      <c r="AI10" s="16">
        <f>ROUND(AE10*Desire_asy*(1-SUM($BA$5:$BC9)/Population),0)</f>
        <v>193983</v>
      </c>
      <c r="AJ10" s="16"/>
      <c r="AK10" s="16">
        <f t="shared" si="35"/>
        <v>11255</v>
      </c>
      <c r="AL10" s="16">
        <f t="shared" si="13"/>
        <v>11255</v>
      </c>
      <c r="AM10" s="16">
        <f t="shared" si="27"/>
        <v>0</v>
      </c>
      <c r="AN10" s="16"/>
      <c r="AO10" s="16">
        <f t="shared" si="36"/>
        <v>9974</v>
      </c>
      <c r="AP10" s="16">
        <f t="shared" si="37"/>
        <v>1281</v>
      </c>
      <c r="AQ10" s="16">
        <f t="shared" si="28"/>
        <v>0</v>
      </c>
      <c r="AR10" s="16"/>
      <c r="AS10" s="16">
        <f t="shared" si="38"/>
        <v>0</v>
      </c>
      <c r="AT10" s="16">
        <f t="shared" si="14"/>
        <v>123241</v>
      </c>
      <c r="AU10" s="16">
        <f t="shared" si="14"/>
        <v>193983</v>
      </c>
      <c r="AV10" s="16"/>
      <c r="AW10" s="16">
        <f t="shared" si="29"/>
        <v>0</v>
      </c>
      <c r="AX10" s="16">
        <f t="shared" si="15"/>
        <v>0</v>
      </c>
      <c r="AY10" s="16">
        <f t="shared" si="30"/>
        <v>0</v>
      </c>
      <c r="AZ10" s="16"/>
      <c r="BA10" s="16">
        <f t="shared" si="31"/>
        <v>9974</v>
      </c>
      <c r="BB10" s="16">
        <f t="shared" si="16"/>
        <v>1281</v>
      </c>
      <c r="BC10" s="16">
        <f t="shared" si="16"/>
        <v>0</v>
      </c>
      <c r="BD10" s="16"/>
      <c r="BE10" s="20">
        <f t="shared" si="32"/>
        <v>1.5974440894568689E-3</v>
      </c>
      <c r="BF10" s="20">
        <f t="shared" si="17"/>
        <v>3.7986173033015985E-4</v>
      </c>
      <c r="BG10" s="20">
        <f t="shared" si="17"/>
        <v>4.928185556042556E-6</v>
      </c>
      <c r="BH10" s="16"/>
      <c r="BI10" s="16">
        <f t="shared" si="18"/>
        <v>33</v>
      </c>
      <c r="BJ10" s="16">
        <f t="shared" si="19"/>
        <v>3</v>
      </c>
      <c r="BK10" s="16">
        <f t="shared" si="20"/>
        <v>0</v>
      </c>
      <c r="BL10" s="16"/>
      <c r="BM10" s="16">
        <f t="shared" si="33"/>
        <v>36</v>
      </c>
      <c r="BN10" s="22">
        <f t="shared" si="39"/>
        <v>1.3333333333333333</v>
      </c>
      <c r="BO10" s="19">
        <f t="shared" si="40"/>
        <v>3.198578409595735E-3</v>
      </c>
    </row>
    <row r="11" spans="1:67" s="9" customFormat="1" ht="13" customHeight="1" x14ac:dyDescent="0.15">
      <c r="A11" s="15" t="s">
        <v>61</v>
      </c>
      <c r="B11" s="8">
        <v>15</v>
      </c>
      <c r="D11" s="38">
        <f t="shared" si="34"/>
        <v>6</v>
      </c>
      <c r="E11" s="41">
        <f t="shared" si="21"/>
        <v>43861</v>
      </c>
      <c r="F11" s="16"/>
      <c r="G11" s="17">
        <f t="shared" si="22"/>
        <v>2.6993006993006992</v>
      </c>
      <c r="H11" s="40">
        <f t="shared" si="0"/>
        <v>3.4887093382797691</v>
      </c>
      <c r="I11" s="16">
        <f t="shared" si="23"/>
        <v>429</v>
      </c>
      <c r="J11" s="16">
        <f>SUM(I$5:I11)</f>
        <v>681</v>
      </c>
      <c r="K11" s="16"/>
      <c r="L11" s="18">
        <f t="shared" ca="1" si="24"/>
        <v>1.3333333333333333</v>
      </c>
      <c r="M11" s="40">
        <f t="shared" ca="1" si="1"/>
        <v>10.494543967606258</v>
      </c>
      <c r="N11" s="16">
        <f t="shared" ca="1" si="2"/>
        <v>27</v>
      </c>
      <c r="O11" s="16">
        <f ca="1">SUM(N$5:N11)</f>
        <v>92</v>
      </c>
      <c r="P11" s="16"/>
      <c r="Q11" s="19">
        <f t="shared" ca="1" si="25"/>
        <v>0.13509544787077826</v>
      </c>
      <c r="R11" s="16"/>
      <c r="S11" s="16">
        <f t="shared" ca="1" si="3"/>
        <v>10927</v>
      </c>
      <c r="T11" s="19">
        <f t="shared" ca="1" si="26"/>
        <v>2.4709435343644184E-3</v>
      </c>
      <c r="U11" s="35"/>
      <c r="V11" s="30">
        <f t="shared" si="4"/>
        <v>2.7</v>
      </c>
      <c r="W11" s="16">
        <f t="shared" si="5"/>
        <v>9999319</v>
      </c>
      <c r="X11" s="16"/>
      <c r="Y11" s="16">
        <f t="shared" si="6"/>
        <v>43</v>
      </c>
      <c r="Z11" s="16">
        <f t="shared" si="7"/>
        <v>257</v>
      </c>
      <c r="AA11" s="16">
        <f t="shared" si="8"/>
        <v>129</v>
      </c>
      <c r="AB11" s="16"/>
      <c r="AC11" s="16">
        <f t="shared" si="9"/>
        <v>10043</v>
      </c>
      <c r="AD11" s="16">
        <f t="shared" si="10"/>
        <v>250246</v>
      </c>
      <c r="AE11" s="16">
        <f t="shared" si="11"/>
        <v>9739711</v>
      </c>
      <c r="AF11" s="16"/>
      <c r="AG11" s="16">
        <f>ROUND(AC11*Desire_severe*(1-SUM($BA$5:$BC10)/Population),0)</f>
        <v>9990</v>
      </c>
      <c r="AH11" s="16">
        <f>ROUND(AD11*Desire_mild*(1-SUM($BA$5:$BC10)/Population),0)</f>
        <v>124459</v>
      </c>
      <c r="AI11" s="16">
        <f>ROUND(AE11*Desire_asy*(1-SUM($BA$5:$BC10)/Population),0)</f>
        <v>193760</v>
      </c>
      <c r="AJ11" s="16"/>
      <c r="AK11" s="16">
        <f t="shared" si="35"/>
        <v>11593</v>
      </c>
      <c r="AL11" s="16">
        <f t="shared" si="13"/>
        <v>11593</v>
      </c>
      <c r="AM11" s="16">
        <f t="shared" si="27"/>
        <v>0</v>
      </c>
      <c r="AN11" s="16"/>
      <c r="AO11" s="16">
        <f t="shared" si="36"/>
        <v>9990</v>
      </c>
      <c r="AP11" s="16">
        <f t="shared" si="37"/>
        <v>1603</v>
      </c>
      <c r="AQ11" s="16">
        <f t="shared" si="28"/>
        <v>0</v>
      </c>
      <c r="AR11" s="16"/>
      <c r="AS11" s="16">
        <f t="shared" si="38"/>
        <v>0</v>
      </c>
      <c r="AT11" s="16">
        <f t="shared" si="14"/>
        <v>122856</v>
      </c>
      <c r="AU11" s="16">
        <f t="shared" si="14"/>
        <v>193760</v>
      </c>
      <c r="AV11" s="16"/>
      <c r="AW11" s="16">
        <f t="shared" si="29"/>
        <v>0</v>
      </c>
      <c r="AX11" s="16">
        <f t="shared" si="15"/>
        <v>0</v>
      </c>
      <c r="AY11" s="16">
        <f t="shared" si="30"/>
        <v>0</v>
      </c>
      <c r="AZ11" s="16"/>
      <c r="BA11" s="16">
        <f t="shared" si="31"/>
        <v>9990</v>
      </c>
      <c r="BB11" s="16">
        <f t="shared" si="16"/>
        <v>1603</v>
      </c>
      <c r="BC11" s="16">
        <f t="shared" si="16"/>
        <v>0</v>
      </c>
      <c r="BD11" s="16"/>
      <c r="BE11" s="20">
        <f t="shared" si="32"/>
        <v>4.2815891665836901E-3</v>
      </c>
      <c r="BF11" s="20">
        <f t="shared" si="17"/>
        <v>1.0269894423886896E-3</v>
      </c>
      <c r="BG11" s="20">
        <f t="shared" si="17"/>
        <v>1.3244746173680102E-5</v>
      </c>
      <c r="BH11" s="16"/>
      <c r="BI11" s="16">
        <f t="shared" si="18"/>
        <v>54</v>
      </c>
      <c r="BJ11" s="16">
        <f t="shared" si="19"/>
        <v>4</v>
      </c>
      <c r="BK11" s="16">
        <f t="shared" si="20"/>
        <v>0</v>
      </c>
      <c r="BL11" s="16"/>
      <c r="BM11" s="16">
        <f t="shared" si="33"/>
        <v>58</v>
      </c>
      <c r="BN11" s="22">
        <f t="shared" si="39"/>
        <v>1.6111111111111112</v>
      </c>
      <c r="BO11" s="19">
        <f t="shared" si="40"/>
        <v>5.0030190632278102E-3</v>
      </c>
    </row>
    <row r="12" spans="1:67" s="9" customFormat="1" ht="13" customHeight="1" x14ac:dyDescent="0.15">
      <c r="A12" s="15"/>
      <c r="B12" s="8"/>
      <c r="D12" s="38">
        <f t="shared" si="34"/>
        <v>7</v>
      </c>
      <c r="E12" s="41">
        <f t="shared" si="21"/>
        <v>43866</v>
      </c>
      <c r="F12" s="16"/>
      <c r="G12" s="17">
        <f t="shared" si="22"/>
        <v>2.6986183074265977</v>
      </c>
      <c r="H12" s="40">
        <f t="shared" si="0"/>
        <v>3.4902024955056548</v>
      </c>
      <c r="I12" s="16">
        <f t="shared" si="23"/>
        <v>1158</v>
      </c>
      <c r="J12" s="16">
        <f>SUM(I$5:I12)</f>
        <v>1839</v>
      </c>
      <c r="K12" s="16"/>
      <c r="L12" s="18">
        <f t="shared" ca="1" si="24"/>
        <v>1.6111111111111112</v>
      </c>
      <c r="M12" s="40">
        <f t="shared" ca="1" si="1"/>
        <v>9.2737054407484205</v>
      </c>
      <c r="N12" s="16">
        <f t="shared" ca="1" si="2"/>
        <v>36</v>
      </c>
      <c r="O12" s="16">
        <f ca="1">SUM(N$5:N12)</f>
        <v>128</v>
      </c>
      <c r="P12" s="16"/>
      <c r="Q12" s="19">
        <f t="shared" ca="1" si="25"/>
        <v>6.9603045133224573E-2</v>
      </c>
      <c r="R12" s="16"/>
      <c r="S12" s="16">
        <f t="shared" ca="1" si="3"/>
        <v>11255</v>
      </c>
      <c r="T12" s="19">
        <f t="shared" ca="1" si="26"/>
        <v>3.198578409595735E-3</v>
      </c>
      <c r="U12" s="35"/>
      <c r="V12" s="30">
        <f t="shared" si="4"/>
        <v>2.7</v>
      </c>
      <c r="W12" s="16">
        <f t="shared" si="5"/>
        <v>9998161</v>
      </c>
      <c r="X12" s="16"/>
      <c r="Y12" s="16">
        <f t="shared" si="6"/>
        <v>116</v>
      </c>
      <c r="Z12" s="16">
        <f t="shared" si="7"/>
        <v>695</v>
      </c>
      <c r="AA12" s="16">
        <f t="shared" si="8"/>
        <v>347</v>
      </c>
      <c r="AB12" s="16"/>
      <c r="AC12" s="16">
        <f t="shared" si="9"/>
        <v>10115</v>
      </c>
      <c r="AD12" s="16">
        <f t="shared" si="10"/>
        <v>250666</v>
      </c>
      <c r="AE12" s="16">
        <f t="shared" si="11"/>
        <v>9739219</v>
      </c>
      <c r="AF12" s="16"/>
      <c r="AG12" s="16">
        <f>ROUND(AC12*Desire_severe*(1-SUM($BA$5:$BC11)/Population),0)</f>
        <v>10050</v>
      </c>
      <c r="AH12" s="16">
        <f>ROUND(AD12*Desire_mild*(1-SUM($BA$5:$BC11)/Population),0)</f>
        <v>124522</v>
      </c>
      <c r="AI12" s="16">
        <f>ROUND(AE12*Desire_asy*(1-SUM($BA$5:$BC11)/Population),0)</f>
        <v>193524</v>
      </c>
      <c r="AJ12" s="16"/>
      <c r="AK12" s="16">
        <f t="shared" si="35"/>
        <v>11941</v>
      </c>
      <c r="AL12" s="16">
        <f t="shared" si="13"/>
        <v>11941</v>
      </c>
      <c r="AM12" s="16">
        <f t="shared" si="27"/>
        <v>0</v>
      </c>
      <c r="AN12" s="16"/>
      <c r="AO12" s="16">
        <f t="shared" si="36"/>
        <v>10050</v>
      </c>
      <c r="AP12" s="16">
        <f t="shared" si="37"/>
        <v>1891</v>
      </c>
      <c r="AQ12" s="16">
        <f t="shared" si="28"/>
        <v>0</v>
      </c>
      <c r="AR12" s="16"/>
      <c r="AS12" s="16">
        <f t="shared" si="38"/>
        <v>0</v>
      </c>
      <c r="AT12" s="16">
        <f t="shared" si="14"/>
        <v>122631</v>
      </c>
      <c r="AU12" s="16">
        <f t="shared" si="14"/>
        <v>193524</v>
      </c>
      <c r="AV12" s="16"/>
      <c r="AW12" s="16">
        <f t="shared" si="29"/>
        <v>0</v>
      </c>
      <c r="AX12" s="16">
        <f t="shared" si="15"/>
        <v>0</v>
      </c>
      <c r="AY12" s="16">
        <f t="shared" si="30"/>
        <v>0</v>
      </c>
      <c r="AZ12" s="16"/>
      <c r="BA12" s="16">
        <f t="shared" si="31"/>
        <v>10050</v>
      </c>
      <c r="BB12" s="16">
        <f t="shared" si="16"/>
        <v>1891</v>
      </c>
      <c r="BC12" s="16">
        <f t="shared" si="16"/>
        <v>0</v>
      </c>
      <c r="BD12" s="16"/>
      <c r="BE12" s="20">
        <f t="shared" si="32"/>
        <v>1.1468116658428076E-2</v>
      </c>
      <c r="BF12" s="20">
        <f t="shared" si="17"/>
        <v>2.7726137569514813E-3</v>
      </c>
      <c r="BG12" s="20">
        <f t="shared" si="17"/>
        <v>3.5629140283219835E-5</v>
      </c>
      <c r="BH12" s="16"/>
      <c r="BI12" s="16">
        <f t="shared" si="18"/>
        <v>112</v>
      </c>
      <c r="BJ12" s="16">
        <f t="shared" si="19"/>
        <v>8</v>
      </c>
      <c r="BK12" s="16">
        <f t="shared" si="20"/>
        <v>0</v>
      </c>
      <c r="BL12" s="16"/>
      <c r="BM12" s="16">
        <f t="shared" si="33"/>
        <v>120</v>
      </c>
      <c r="BN12" s="22">
        <f t="shared" si="39"/>
        <v>2.0689655172413794</v>
      </c>
      <c r="BO12" s="19">
        <f t="shared" si="40"/>
        <v>1.0049409597186166E-2</v>
      </c>
    </row>
    <row r="13" spans="1:67" s="9" customFormat="1" ht="13" customHeight="1" x14ac:dyDescent="0.15">
      <c r="A13" s="15" t="s">
        <v>42</v>
      </c>
      <c r="B13" s="23">
        <v>0.3</v>
      </c>
      <c r="D13" s="38">
        <f t="shared" si="34"/>
        <v>8</v>
      </c>
      <c r="E13" s="41">
        <f t="shared" si="21"/>
        <v>43871</v>
      </c>
      <c r="F13" s="16"/>
      <c r="G13" s="17">
        <f t="shared" si="22"/>
        <v>2.6969599999999998</v>
      </c>
      <c r="H13" s="40">
        <f t="shared" si="0"/>
        <v>3.4921165862883559</v>
      </c>
      <c r="I13" s="16">
        <f t="shared" si="23"/>
        <v>3125</v>
      </c>
      <c r="J13" s="16">
        <f>SUM(I$5:I13)</f>
        <v>4964</v>
      </c>
      <c r="K13" s="16"/>
      <c r="L13" s="18">
        <f t="shared" ca="1" si="24"/>
        <v>2.0689655172413794</v>
      </c>
      <c r="M13" s="40">
        <f t="shared" ca="1" si="1"/>
        <v>6.9615676617367548</v>
      </c>
      <c r="N13" s="16">
        <f t="shared" ca="1" si="2"/>
        <v>58</v>
      </c>
      <c r="O13" s="16">
        <f ca="1">SUM(N$5:N13)</f>
        <v>186</v>
      </c>
      <c r="P13" s="16"/>
      <c r="Q13" s="19">
        <f t="shared" ca="1" si="25"/>
        <v>3.7469782433521351E-2</v>
      </c>
      <c r="R13" s="16"/>
      <c r="S13" s="16">
        <f t="shared" ca="1" si="3"/>
        <v>11593</v>
      </c>
      <c r="T13" s="19">
        <f t="shared" ca="1" si="26"/>
        <v>5.0030190632278102E-3</v>
      </c>
      <c r="U13" s="35"/>
      <c r="V13" s="30">
        <f t="shared" si="4"/>
        <v>2.7</v>
      </c>
      <c r="W13" s="16">
        <f t="shared" si="5"/>
        <v>9995036</v>
      </c>
      <c r="X13" s="16"/>
      <c r="Y13" s="16">
        <f t="shared" si="6"/>
        <v>313</v>
      </c>
      <c r="Z13" s="16">
        <f t="shared" si="7"/>
        <v>1875</v>
      </c>
      <c r="AA13" s="16">
        <f t="shared" si="8"/>
        <v>937</v>
      </c>
      <c r="AB13" s="16"/>
      <c r="AC13" s="16">
        <f t="shared" si="9"/>
        <v>10310</v>
      </c>
      <c r="AD13" s="16">
        <f t="shared" si="10"/>
        <v>251797</v>
      </c>
      <c r="AE13" s="16">
        <f t="shared" si="11"/>
        <v>9737893</v>
      </c>
      <c r="AF13" s="16"/>
      <c r="AG13" s="16">
        <f>ROUND(AC13*Desire_severe*(1-SUM($BA$5:$BC12)/Population),0)</f>
        <v>10231</v>
      </c>
      <c r="AH13" s="16">
        <f>ROUND(AD13*Desire_mild*(1-SUM($BA$5:$BC12)/Population),0)</f>
        <v>124934</v>
      </c>
      <c r="AI13" s="16">
        <f>ROUND(AE13*Desire_asy*(1-SUM($BA$5:$BC12)/Population),0)</f>
        <v>193266</v>
      </c>
      <c r="AJ13" s="16"/>
      <c r="AK13" s="16">
        <f t="shared" si="35"/>
        <v>12299</v>
      </c>
      <c r="AL13" s="16">
        <f t="shared" si="13"/>
        <v>12299</v>
      </c>
      <c r="AM13" s="16">
        <f t="shared" si="27"/>
        <v>0</v>
      </c>
      <c r="AN13" s="16"/>
      <c r="AO13" s="16">
        <f t="shared" si="36"/>
        <v>10231</v>
      </c>
      <c r="AP13" s="16">
        <f t="shared" si="37"/>
        <v>2068</v>
      </c>
      <c r="AQ13" s="16">
        <f t="shared" si="28"/>
        <v>0</v>
      </c>
      <c r="AR13" s="16"/>
      <c r="AS13" s="16">
        <f t="shared" si="38"/>
        <v>0</v>
      </c>
      <c r="AT13" s="16">
        <f t="shared" si="14"/>
        <v>122866</v>
      </c>
      <c r="AU13" s="16">
        <f t="shared" si="14"/>
        <v>193266</v>
      </c>
      <c r="AV13" s="16"/>
      <c r="AW13" s="16">
        <f t="shared" si="29"/>
        <v>0</v>
      </c>
      <c r="AX13" s="16">
        <f t="shared" si="15"/>
        <v>0</v>
      </c>
      <c r="AY13" s="16">
        <f t="shared" si="30"/>
        <v>0</v>
      </c>
      <c r="AZ13" s="16"/>
      <c r="BA13" s="16">
        <f t="shared" si="31"/>
        <v>10231</v>
      </c>
      <c r="BB13" s="16">
        <f t="shared" si="16"/>
        <v>2068</v>
      </c>
      <c r="BC13" s="16">
        <f t="shared" si="16"/>
        <v>0</v>
      </c>
      <c r="BD13" s="16"/>
      <c r="BE13" s="20">
        <f t="shared" si="32"/>
        <v>3.0358874878758487E-2</v>
      </c>
      <c r="BF13" s="20">
        <f t="shared" si="17"/>
        <v>7.4464747395719564E-3</v>
      </c>
      <c r="BG13" s="20">
        <f t="shared" si="17"/>
        <v>9.6222047212882707E-5</v>
      </c>
      <c r="BH13" s="16"/>
      <c r="BI13" s="16">
        <f t="shared" si="18"/>
        <v>268</v>
      </c>
      <c r="BJ13" s="16">
        <f t="shared" si="19"/>
        <v>16</v>
      </c>
      <c r="BK13" s="16">
        <f t="shared" si="20"/>
        <v>0</v>
      </c>
      <c r="BL13" s="16"/>
      <c r="BM13" s="16">
        <f t="shared" si="33"/>
        <v>284</v>
      </c>
      <c r="BN13" s="22">
        <f t="shared" si="39"/>
        <v>2.3666666666666667</v>
      </c>
      <c r="BO13" s="19">
        <f t="shared" si="40"/>
        <v>2.3091308236441989E-2</v>
      </c>
    </row>
    <row r="14" spans="1:67" s="9" customFormat="1" ht="13" customHeight="1" x14ac:dyDescent="0.15">
      <c r="A14" s="15" t="s">
        <v>2</v>
      </c>
      <c r="B14" s="23">
        <v>0.6</v>
      </c>
      <c r="D14" s="38">
        <f t="shared" si="34"/>
        <v>9</v>
      </c>
      <c r="E14" s="41">
        <f t="shared" si="21"/>
        <v>43876</v>
      </c>
      <c r="F14" s="16"/>
      <c r="G14" s="17">
        <f t="shared" si="22"/>
        <v>2.6915045087802563</v>
      </c>
      <c r="H14" s="40">
        <f t="shared" si="0"/>
        <v>3.4973155763405481</v>
      </c>
      <c r="I14" s="16">
        <f t="shared" si="23"/>
        <v>8428</v>
      </c>
      <c r="J14" s="16">
        <f>SUM(I$5:I14)</f>
        <v>13392</v>
      </c>
      <c r="K14" s="16"/>
      <c r="L14" s="18">
        <f t="shared" ca="1" si="24"/>
        <v>2.3666666666666667</v>
      </c>
      <c r="M14" s="40">
        <f t="shared" ca="1" si="1"/>
        <v>5.2788092777641449</v>
      </c>
      <c r="N14" s="16">
        <f t="shared" ca="1" si="2"/>
        <v>120</v>
      </c>
      <c r="O14" s="16">
        <f ca="1">SUM(N$5:N14)</f>
        <v>306</v>
      </c>
      <c r="P14" s="16"/>
      <c r="Q14" s="19">
        <f t="shared" ca="1" si="25"/>
        <v>2.2849462365591398E-2</v>
      </c>
      <c r="R14" s="16"/>
      <c r="S14" s="16">
        <f t="shared" ca="1" si="3"/>
        <v>11941</v>
      </c>
      <c r="T14" s="19">
        <f t="shared" ca="1" si="26"/>
        <v>1.0049409597186166E-2</v>
      </c>
      <c r="U14" s="35"/>
      <c r="V14" s="30">
        <f t="shared" si="4"/>
        <v>2.7</v>
      </c>
      <c r="W14" s="16">
        <f t="shared" si="5"/>
        <v>9986608</v>
      </c>
      <c r="X14" s="16"/>
      <c r="Y14" s="16">
        <f t="shared" si="6"/>
        <v>843</v>
      </c>
      <c r="Z14" s="16">
        <f t="shared" si="7"/>
        <v>5057</v>
      </c>
      <c r="AA14" s="16">
        <f t="shared" si="8"/>
        <v>2528</v>
      </c>
      <c r="AB14" s="16"/>
      <c r="AC14" s="16">
        <f t="shared" si="9"/>
        <v>10835</v>
      </c>
      <c r="AD14" s="16">
        <f t="shared" si="10"/>
        <v>254846</v>
      </c>
      <c r="AE14" s="16">
        <f t="shared" si="11"/>
        <v>9734319</v>
      </c>
      <c r="AF14" s="16"/>
      <c r="AG14" s="16">
        <f>ROUND(AC14*Desire_severe*(1-SUM($BA$5:$BC13)/Population),0)</f>
        <v>10739</v>
      </c>
      <c r="AH14" s="16">
        <f>ROUND(AD14*Desire_mild*(1-SUM($BA$5:$BC13)/Population),0)</f>
        <v>126290</v>
      </c>
      <c r="AI14" s="16">
        <f>ROUND(AE14*Desire_asy*(1-SUM($BA$5:$BC13)/Population),0)</f>
        <v>192955</v>
      </c>
      <c r="AJ14" s="16"/>
      <c r="AK14" s="16">
        <f t="shared" si="35"/>
        <v>12668</v>
      </c>
      <c r="AL14" s="16">
        <f t="shared" si="13"/>
        <v>12668</v>
      </c>
      <c r="AM14" s="16">
        <f t="shared" si="27"/>
        <v>0</v>
      </c>
      <c r="AN14" s="16"/>
      <c r="AO14" s="16">
        <f t="shared" si="36"/>
        <v>10739</v>
      </c>
      <c r="AP14" s="16">
        <f t="shared" si="37"/>
        <v>1929</v>
      </c>
      <c r="AQ14" s="16">
        <f t="shared" si="28"/>
        <v>0</v>
      </c>
      <c r="AR14" s="16"/>
      <c r="AS14" s="16">
        <f t="shared" si="38"/>
        <v>0</v>
      </c>
      <c r="AT14" s="16">
        <f t="shared" si="14"/>
        <v>124361</v>
      </c>
      <c r="AU14" s="16">
        <f t="shared" si="14"/>
        <v>192955</v>
      </c>
      <c r="AV14" s="16"/>
      <c r="AW14" s="16">
        <f t="shared" si="29"/>
        <v>0</v>
      </c>
      <c r="AX14" s="16">
        <f t="shared" si="15"/>
        <v>0</v>
      </c>
      <c r="AY14" s="16">
        <f t="shared" si="30"/>
        <v>0</v>
      </c>
      <c r="AZ14" s="16"/>
      <c r="BA14" s="16">
        <f t="shared" si="31"/>
        <v>10739</v>
      </c>
      <c r="BB14" s="16">
        <f t="shared" si="16"/>
        <v>1929</v>
      </c>
      <c r="BC14" s="16">
        <f t="shared" si="16"/>
        <v>0</v>
      </c>
      <c r="BD14" s="16"/>
      <c r="BE14" s="20">
        <f t="shared" si="32"/>
        <v>7.7803414859252421E-2</v>
      </c>
      <c r="BF14" s="20">
        <f t="shared" si="17"/>
        <v>1.9843356379931409E-2</v>
      </c>
      <c r="BG14" s="20">
        <f t="shared" si="17"/>
        <v>2.596997283528514E-4</v>
      </c>
      <c r="BH14" s="16"/>
      <c r="BI14" s="16">
        <f t="shared" si="18"/>
        <v>688</v>
      </c>
      <c r="BJ14" s="16">
        <f t="shared" si="19"/>
        <v>35</v>
      </c>
      <c r="BK14" s="16">
        <f t="shared" si="20"/>
        <v>0</v>
      </c>
      <c r="BL14" s="16"/>
      <c r="BM14" s="16">
        <f t="shared" si="33"/>
        <v>723</v>
      </c>
      <c r="BN14" s="22">
        <f t="shared" si="39"/>
        <v>2.545774647887324</v>
      </c>
      <c r="BO14" s="19">
        <f t="shared" si="40"/>
        <v>5.7072939690558891E-2</v>
      </c>
    </row>
    <row r="15" spans="1:67" s="9" customFormat="1" ht="13" customHeight="1" x14ac:dyDescent="0.15">
      <c r="A15" s="15"/>
      <c r="B15" s="8"/>
      <c r="D15" s="38">
        <f t="shared" si="34"/>
        <v>10</v>
      </c>
      <c r="E15" s="41">
        <f t="shared" si="21"/>
        <v>43881</v>
      </c>
      <c r="F15" s="16"/>
      <c r="G15" s="17">
        <f t="shared" si="22"/>
        <v>2.6772174219714335</v>
      </c>
      <c r="H15" s="40">
        <f t="shared" si="0"/>
        <v>3.5110952097812742</v>
      </c>
      <c r="I15" s="16">
        <f t="shared" si="23"/>
        <v>22684</v>
      </c>
      <c r="J15" s="16">
        <f>SUM(I$5:I15)</f>
        <v>36076</v>
      </c>
      <c r="K15" s="16"/>
      <c r="L15" s="18">
        <f t="shared" ca="1" si="24"/>
        <v>2.545774647887324</v>
      </c>
      <c r="M15" s="40">
        <f t="shared" ca="1" si="1"/>
        <v>4.3324550764191274</v>
      </c>
      <c r="N15" s="16">
        <f t="shared" ca="1" si="2"/>
        <v>284</v>
      </c>
      <c r="O15" s="16">
        <f ca="1">SUM(N$5:N15)</f>
        <v>590</v>
      </c>
      <c r="P15" s="16"/>
      <c r="Q15" s="19">
        <f t="shared" ca="1" si="25"/>
        <v>1.6354363011420334E-2</v>
      </c>
      <c r="R15" s="16"/>
      <c r="S15" s="16">
        <f t="shared" ca="1" si="3"/>
        <v>12299</v>
      </c>
      <c r="T15" s="19">
        <f t="shared" ca="1" si="26"/>
        <v>2.3091308236441989E-2</v>
      </c>
      <c r="U15" s="35"/>
      <c r="V15" s="30">
        <f t="shared" si="4"/>
        <v>2.7</v>
      </c>
      <c r="W15" s="16">
        <f t="shared" si="5"/>
        <v>9963924</v>
      </c>
      <c r="X15" s="16"/>
      <c r="Y15" s="16">
        <f t="shared" si="6"/>
        <v>2268</v>
      </c>
      <c r="Z15" s="16">
        <f t="shared" si="7"/>
        <v>13610</v>
      </c>
      <c r="AA15" s="16">
        <f t="shared" si="8"/>
        <v>6806</v>
      </c>
      <c r="AB15" s="16"/>
      <c r="AC15" s="16">
        <f t="shared" si="9"/>
        <v>12245</v>
      </c>
      <c r="AD15" s="16">
        <f t="shared" si="10"/>
        <v>263043</v>
      </c>
      <c r="AE15" s="16">
        <f t="shared" si="11"/>
        <v>9724712</v>
      </c>
      <c r="AF15" s="16"/>
      <c r="AG15" s="16">
        <f>ROUND(AC15*Desire_severe*(1-SUM($BA$5:$BC14)/Population),0)</f>
        <v>12121</v>
      </c>
      <c r="AH15" s="16">
        <f>ROUND(AD15*Desire_mild*(1-SUM($BA$5:$BC14)/Population),0)</f>
        <v>130185</v>
      </c>
      <c r="AI15" s="16">
        <f>ROUND(AE15*Desire_asy*(1-SUM($BA$5:$BC14)/Population),0)</f>
        <v>192518</v>
      </c>
      <c r="AJ15" s="16"/>
      <c r="AK15" s="16">
        <f t="shared" si="35"/>
        <v>13048</v>
      </c>
      <c r="AL15" s="16">
        <f t="shared" si="13"/>
        <v>13048</v>
      </c>
      <c r="AM15" s="16">
        <f t="shared" si="27"/>
        <v>0</v>
      </c>
      <c r="AN15" s="16"/>
      <c r="AO15" s="16">
        <f t="shared" si="36"/>
        <v>12121</v>
      </c>
      <c r="AP15" s="16">
        <f t="shared" si="37"/>
        <v>927</v>
      </c>
      <c r="AQ15" s="16">
        <f t="shared" si="28"/>
        <v>0</v>
      </c>
      <c r="AR15" s="16"/>
      <c r="AS15" s="16">
        <f t="shared" si="38"/>
        <v>0</v>
      </c>
      <c r="AT15" s="16">
        <f t="shared" si="14"/>
        <v>129258</v>
      </c>
      <c r="AU15" s="16">
        <f t="shared" si="14"/>
        <v>192518</v>
      </c>
      <c r="AV15" s="16"/>
      <c r="AW15" s="16">
        <f t="shared" si="29"/>
        <v>0</v>
      </c>
      <c r="AX15" s="16">
        <f t="shared" si="15"/>
        <v>0</v>
      </c>
      <c r="AY15" s="16">
        <f t="shared" si="30"/>
        <v>0</v>
      </c>
      <c r="AZ15" s="16"/>
      <c r="BA15" s="16">
        <f t="shared" si="31"/>
        <v>12121</v>
      </c>
      <c r="BB15" s="16">
        <f t="shared" si="16"/>
        <v>927</v>
      </c>
      <c r="BC15" s="16">
        <f t="shared" si="16"/>
        <v>0</v>
      </c>
      <c r="BD15" s="16"/>
      <c r="BE15" s="20">
        <f t="shared" si="32"/>
        <v>0.18521845651286239</v>
      </c>
      <c r="BF15" s="20">
        <f t="shared" si="17"/>
        <v>5.1740589941568486E-2</v>
      </c>
      <c r="BG15" s="20">
        <f t="shared" si="17"/>
        <v>6.9986648447789503E-4</v>
      </c>
      <c r="BH15" s="16"/>
      <c r="BI15" s="16">
        <f t="shared" si="18"/>
        <v>1816</v>
      </c>
      <c r="BJ15" s="16">
        <f t="shared" si="19"/>
        <v>40</v>
      </c>
      <c r="BK15" s="16">
        <f t="shared" si="20"/>
        <v>0</v>
      </c>
      <c r="BL15" s="16"/>
      <c r="BM15" s="16">
        <f t="shared" si="33"/>
        <v>1856</v>
      </c>
      <c r="BN15" s="22">
        <f t="shared" si="39"/>
        <v>2.567081604426003</v>
      </c>
      <c r="BO15" s="19">
        <f t="shared" si="40"/>
        <v>0.14224402207234826</v>
      </c>
    </row>
    <row r="16" spans="1:67" s="9" customFormat="1" ht="13" customHeight="1" x14ac:dyDescent="0.15">
      <c r="A16" s="15" t="s">
        <v>55</v>
      </c>
      <c r="B16" s="24">
        <v>43831</v>
      </c>
      <c r="D16" s="38">
        <f t="shared" si="34"/>
        <v>11</v>
      </c>
      <c r="E16" s="41">
        <f t="shared" si="21"/>
        <v>43886</v>
      </c>
      <c r="F16" s="16"/>
      <c r="G16" s="17">
        <f t="shared" si="22"/>
        <v>1.3739008727152973</v>
      </c>
      <c r="H16" s="40">
        <f t="shared" si="0"/>
        <v>5.5755354353773878</v>
      </c>
      <c r="I16" s="16">
        <f t="shared" si="23"/>
        <v>60730</v>
      </c>
      <c r="J16" s="16">
        <f>SUM(I$5:I16)</f>
        <v>96806</v>
      </c>
      <c r="K16" s="16"/>
      <c r="L16" s="18">
        <f t="shared" ca="1" si="24"/>
        <v>2.567081604426003</v>
      </c>
      <c r="M16" s="40">
        <f t="shared" ca="1" si="1"/>
        <v>3.9334128477528014</v>
      </c>
      <c r="N16" s="16">
        <f t="shared" ca="1" si="2"/>
        <v>723</v>
      </c>
      <c r="O16" s="16">
        <f ca="1">SUM(N$5:N16)</f>
        <v>1313</v>
      </c>
      <c r="P16" s="16"/>
      <c r="Q16" s="19">
        <f t="shared" ca="1" si="25"/>
        <v>1.3563208892010827E-2</v>
      </c>
      <c r="R16" s="16"/>
      <c r="S16" s="16">
        <f t="shared" ca="1" si="3"/>
        <v>12668</v>
      </c>
      <c r="T16" s="19">
        <f t="shared" ca="1" si="26"/>
        <v>5.7072939690558891E-2</v>
      </c>
      <c r="U16" s="35"/>
      <c r="V16" s="30">
        <f t="shared" si="4"/>
        <v>1.4</v>
      </c>
      <c r="W16" s="16">
        <f t="shared" si="5"/>
        <v>9903194</v>
      </c>
      <c r="X16" s="16"/>
      <c r="Y16" s="16">
        <f t="shared" si="6"/>
        <v>6073</v>
      </c>
      <c r="Z16" s="16">
        <f t="shared" si="7"/>
        <v>36438</v>
      </c>
      <c r="AA16" s="16">
        <f t="shared" si="8"/>
        <v>18219</v>
      </c>
      <c r="AB16" s="16"/>
      <c r="AC16" s="16">
        <f t="shared" si="9"/>
        <v>16012</v>
      </c>
      <c r="AD16" s="16">
        <f t="shared" si="10"/>
        <v>284920</v>
      </c>
      <c r="AE16" s="16">
        <f t="shared" si="11"/>
        <v>9699068</v>
      </c>
      <c r="AF16" s="16"/>
      <c r="AG16" s="16">
        <f>ROUND(AC16*Desire_severe*(1-SUM($BA$5:$BC15)/Population),0)</f>
        <v>15828</v>
      </c>
      <c r="AH16" s="16">
        <f>ROUND(AD16*Desire_mild*(1-SUM($BA$5:$BC15)/Population),0)</f>
        <v>140827</v>
      </c>
      <c r="AI16" s="16">
        <f>ROUND(AE16*Desire_asy*(1-SUM($BA$5:$BC15)/Population),0)</f>
        <v>191758</v>
      </c>
      <c r="AJ16" s="16"/>
      <c r="AK16" s="16">
        <f t="shared" si="35"/>
        <v>13439</v>
      </c>
      <c r="AL16" s="16">
        <f t="shared" si="13"/>
        <v>13439</v>
      </c>
      <c r="AM16" s="16">
        <f t="shared" si="27"/>
        <v>0</v>
      </c>
      <c r="AN16" s="16"/>
      <c r="AO16" s="16">
        <f t="shared" si="36"/>
        <v>13439</v>
      </c>
      <c r="AP16" s="16">
        <f t="shared" si="37"/>
        <v>0</v>
      </c>
      <c r="AQ16" s="16">
        <f t="shared" si="28"/>
        <v>0</v>
      </c>
      <c r="AR16" s="16"/>
      <c r="AS16" s="16">
        <f t="shared" si="38"/>
        <v>2389</v>
      </c>
      <c r="AT16" s="16">
        <f t="shared" si="14"/>
        <v>140827</v>
      </c>
      <c r="AU16" s="16">
        <f t="shared" si="14"/>
        <v>191758</v>
      </c>
      <c r="AV16" s="16"/>
      <c r="AW16" s="16">
        <f t="shared" si="29"/>
        <v>0</v>
      </c>
      <c r="AX16" s="16">
        <f t="shared" si="15"/>
        <v>0</v>
      </c>
      <c r="AY16" s="16">
        <f t="shared" si="30"/>
        <v>0</v>
      </c>
      <c r="AZ16" s="16"/>
      <c r="BA16" s="16">
        <f t="shared" si="31"/>
        <v>13439</v>
      </c>
      <c r="BB16" s="16">
        <f t="shared" si="16"/>
        <v>0</v>
      </c>
      <c r="BC16" s="16">
        <f t="shared" si="16"/>
        <v>0</v>
      </c>
      <c r="BD16" s="16"/>
      <c r="BE16" s="20">
        <f t="shared" si="32"/>
        <v>0.37927804146889832</v>
      </c>
      <c r="BF16" s="20">
        <f t="shared" si="17"/>
        <v>0.12788853011371612</v>
      </c>
      <c r="BG16" s="20">
        <f t="shared" si="17"/>
        <v>1.8784279066813431E-3</v>
      </c>
      <c r="BH16" s="16"/>
      <c r="BI16" s="16">
        <f t="shared" si="18"/>
        <v>4095</v>
      </c>
      <c r="BJ16" s="16">
        <f t="shared" si="19"/>
        <v>0</v>
      </c>
      <c r="BK16" s="16">
        <f t="shared" si="20"/>
        <v>0</v>
      </c>
      <c r="BL16" s="16"/>
      <c r="BM16" s="16">
        <f t="shared" si="33"/>
        <v>4095</v>
      </c>
      <c r="BN16" s="22">
        <f t="shared" si="39"/>
        <v>2.2063577586206895</v>
      </c>
      <c r="BO16" s="19">
        <f t="shared" si="40"/>
        <v>0.30471017188778926</v>
      </c>
    </row>
    <row r="17" spans="1:67" s="9" customFormat="1" ht="13" customHeight="1" x14ac:dyDescent="0.15">
      <c r="A17" s="15" t="s">
        <v>59</v>
      </c>
      <c r="B17" s="8">
        <v>5</v>
      </c>
      <c r="D17" s="38">
        <f t="shared" si="34"/>
        <v>12</v>
      </c>
      <c r="E17" s="41">
        <f t="shared" si="21"/>
        <v>43891</v>
      </c>
      <c r="F17" s="16"/>
      <c r="G17" s="17">
        <f t="shared" si="22"/>
        <v>1.3544710380286924</v>
      </c>
      <c r="H17" s="40">
        <f t="shared" si="0"/>
        <v>7.1203021148272816</v>
      </c>
      <c r="I17" s="16">
        <f t="shared" si="23"/>
        <v>83437</v>
      </c>
      <c r="J17" s="16">
        <f>SUM(I$5:I17)</f>
        <v>180243</v>
      </c>
      <c r="K17" s="16"/>
      <c r="L17" s="18">
        <f t="shared" ca="1" si="24"/>
        <v>2.2063577586206895</v>
      </c>
      <c r="M17" s="40">
        <f t="shared" ca="1" si="1"/>
        <v>4.1780290153482271</v>
      </c>
      <c r="N17" s="16">
        <f t="shared" ca="1" si="2"/>
        <v>1856</v>
      </c>
      <c r="O17" s="16">
        <f ca="1">SUM(N$5:N17)</f>
        <v>3169</v>
      </c>
      <c r="P17" s="16"/>
      <c r="Q17" s="19">
        <f t="shared" ca="1" si="25"/>
        <v>1.7581820098422685E-2</v>
      </c>
      <c r="R17" s="16"/>
      <c r="S17" s="16">
        <f t="shared" ca="1" si="3"/>
        <v>13048</v>
      </c>
      <c r="T17" s="19">
        <f t="shared" ca="1" si="26"/>
        <v>0.14224402207234826</v>
      </c>
      <c r="U17" s="35"/>
      <c r="V17" s="30">
        <f t="shared" si="4"/>
        <v>1.4</v>
      </c>
      <c r="W17" s="16">
        <f t="shared" si="5"/>
        <v>9819757</v>
      </c>
      <c r="X17" s="16"/>
      <c r="Y17" s="16">
        <f t="shared" si="6"/>
        <v>8344</v>
      </c>
      <c r="Z17" s="16">
        <f t="shared" si="7"/>
        <v>50062</v>
      </c>
      <c r="AA17" s="16">
        <f t="shared" si="8"/>
        <v>25031</v>
      </c>
      <c r="AB17" s="16"/>
      <c r="AC17" s="16">
        <f t="shared" si="9"/>
        <v>18261</v>
      </c>
      <c r="AD17" s="16">
        <f t="shared" si="10"/>
        <v>297976</v>
      </c>
      <c r="AE17" s="16">
        <f t="shared" si="11"/>
        <v>9683763</v>
      </c>
      <c r="AF17" s="16"/>
      <c r="AG17" s="16">
        <f>ROUND(AC17*Desire_severe*(1-SUM($BA$5:$BC16)/Population),0)</f>
        <v>18027</v>
      </c>
      <c r="AH17" s="16">
        <f>ROUND(AD17*Desire_mild*(1-SUM($BA$5:$BC16)/Population),0)</f>
        <v>147080</v>
      </c>
      <c r="AI17" s="16">
        <f>ROUND(AE17*Desire_asy*(1-SUM($BA$5:$BC16)/Population),0)</f>
        <v>191195</v>
      </c>
      <c r="AJ17" s="16"/>
      <c r="AK17" s="16">
        <f t="shared" si="35"/>
        <v>13842</v>
      </c>
      <c r="AL17" s="16">
        <f t="shared" si="13"/>
        <v>13842</v>
      </c>
      <c r="AM17" s="16">
        <f t="shared" si="27"/>
        <v>0</v>
      </c>
      <c r="AN17" s="16"/>
      <c r="AO17" s="16">
        <f t="shared" si="36"/>
        <v>13842</v>
      </c>
      <c r="AP17" s="16">
        <f t="shared" si="37"/>
        <v>0</v>
      </c>
      <c r="AQ17" s="16">
        <f t="shared" si="28"/>
        <v>0</v>
      </c>
      <c r="AR17" s="16"/>
      <c r="AS17" s="16">
        <f t="shared" si="38"/>
        <v>4185</v>
      </c>
      <c r="AT17" s="16">
        <f t="shared" si="14"/>
        <v>147080</v>
      </c>
      <c r="AU17" s="16">
        <f t="shared" si="14"/>
        <v>191195</v>
      </c>
      <c r="AV17" s="16"/>
      <c r="AW17" s="16">
        <f t="shared" si="29"/>
        <v>0</v>
      </c>
      <c r="AX17" s="16">
        <f t="shared" si="15"/>
        <v>0</v>
      </c>
      <c r="AY17" s="16">
        <f t="shared" si="30"/>
        <v>0</v>
      </c>
      <c r="AZ17" s="16"/>
      <c r="BA17" s="16">
        <f t="shared" si="31"/>
        <v>13842</v>
      </c>
      <c r="BB17" s="16">
        <f t="shared" si="16"/>
        <v>0</v>
      </c>
      <c r="BC17" s="16">
        <f t="shared" si="16"/>
        <v>0</v>
      </c>
      <c r="BD17" s="16"/>
      <c r="BE17" s="20">
        <f t="shared" si="32"/>
        <v>0.45693006954712229</v>
      </c>
      <c r="BF17" s="20">
        <f t="shared" si="17"/>
        <v>0.16800681934115499</v>
      </c>
      <c r="BG17" s="20">
        <f t="shared" si="17"/>
        <v>2.584842276705863E-3</v>
      </c>
      <c r="BH17" s="16"/>
      <c r="BI17" s="16">
        <f t="shared" si="18"/>
        <v>5075</v>
      </c>
      <c r="BJ17" s="16">
        <f t="shared" si="19"/>
        <v>0</v>
      </c>
      <c r="BK17" s="16">
        <f t="shared" si="20"/>
        <v>0</v>
      </c>
      <c r="BL17" s="16"/>
      <c r="BM17" s="16">
        <f t="shared" si="33"/>
        <v>5075</v>
      </c>
      <c r="BN17" s="22">
        <f t="shared" si="39"/>
        <v>1.2393162393162394</v>
      </c>
      <c r="BO17" s="19">
        <f t="shared" si="40"/>
        <v>0.36663776910851031</v>
      </c>
    </row>
    <row r="18" spans="1:67" s="9" customFormat="1" ht="13" customHeight="1" x14ac:dyDescent="0.15">
      <c r="B18" s="8"/>
      <c r="D18" s="38">
        <f t="shared" si="34"/>
        <v>13</v>
      </c>
      <c r="E18" s="41">
        <f t="shared" si="21"/>
        <v>43896</v>
      </c>
      <c r="F18" s="16"/>
      <c r="G18" s="17">
        <f t="shared" si="22"/>
        <v>1.3284931822002779</v>
      </c>
      <c r="H18" s="40">
        <f t="shared" si="0"/>
        <v>8.3832785590259675</v>
      </c>
      <c r="I18" s="16">
        <f t="shared" si="23"/>
        <v>113013</v>
      </c>
      <c r="J18" s="16">
        <f>SUM(I$5:I18)</f>
        <v>293256</v>
      </c>
      <c r="K18" s="16"/>
      <c r="L18" s="18">
        <f t="shared" ca="1" si="24"/>
        <v>1.2393162393162394</v>
      </c>
      <c r="M18" s="40">
        <f t="shared" ca="1" si="1"/>
        <v>6.5411689339083887</v>
      </c>
      <c r="N18" s="16">
        <f t="shared" ca="1" si="2"/>
        <v>4095</v>
      </c>
      <c r="O18" s="16">
        <f ca="1">SUM(N$5:N18)</f>
        <v>7264</v>
      </c>
      <c r="P18" s="16"/>
      <c r="Q18" s="19">
        <f t="shared" ca="1" si="25"/>
        <v>2.4770166680306627E-2</v>
      </c>
      <c r="R18" s="16"/>
      <c r="S18" s="16">
        <f t="shared" ca="1" si="3"/>
        <v>13439</v>
      </c>
      <c r="T18" s="19">
        <f t="shared" ca="1" si="26"/>
        <v>0.30471017188778926</v>
      </c>
      <c r="U18" s="35"/>
      <c r="V18" s="30">
        <f t="shared" si="4"/>
        <v>1.4</v>
      </c>
      <c r="W18" s="16">
        <f t="shared" si="5"/>
        <v>9706744</v>
      </c>
      <c r="X18" s="16"/>
      <c r="Y18" s="16">
        <f t="shared" si="6"/>
        <v>11301</v>
      </c>
      <c r="Z18" s="16">
        <f t="shared" si="7"/>
        <v>67808</v>
      </c>
      <c r="AA18" s="16">
        <f t="shared" si="8"/>
        <v>33904</v>
      </c>
      <c r="AB18" s="16"/>
      <c r="AC18" s="16">
        <f t="shared" si="9"/>
        <v>21188</v>
      </c>
      <c r="AD18" s="16">
        <f t="shared" si="10"/>
        <v>314983</v>
      </c>
      <c r="AE18" s="16">
        <f t="shared" si="11"/>
        <v>9663829</v>
      </c>
      <c r="AF18" s="16"/>
      <c r="AG18" s="16">
        <f>ROUND(AC18*Desire_severe*(1-SUM($BA$5:$BC17)/Population),0)</f>
        <v>20887</v>
      </c>
      <c r="AH18" s="16">
        <f>ROUND(AD18*Desire_mild*(1-SUM($BA$5:$BC17)/Population),0)</f>
        <v>155256</v>
      </c>
      <c r="AI18" s="16">
        <f>ROUND(AE18*Desire_asy*(1-SUM($BA$5:$BC17)/Population),0)</f>
        <v>190534</v>
      </c>
      <c r="AJ18" s="16"/>
      <c r="AK18" s="16">
        <f t="shared" si="35"/>
        <v>14257</v>
      </c>
      <c r="AL18" s="16">
        <f t="shared" si="13"/>
        <v>14257</v>
      </c>
      <c r="AM18" s="16">
        <f t="shared" si="27"/>
        <v>0</v>
      </c>
      <c r="AN18" s="16"/>
      <c r="AO18" s="16">
        <f t="shared" si="36"/>
        <v>14257</v>
      </c>
      <c r="AP18" s="16">
        <f t="shared" si="37"/>
        <v>0</v>
      </c>
      <c r="AQ18" s="16">
        <f t="shared" si="28"/>
        <v>0</v>
      </c>
      <c r="AR18" s="16"/>
      <c r="AS18" s="16">
        <f t="shared" si="38"/>
        <v>6630</v>
      </c>
      <c r="AT18" s="16">
        <f t="shared" si="14"/>
        <v>155256</v>
      </c>
      <c r="AU18" s="16">
        <f t="shared" si="14"/>
        <v>190534</v>
      </c>
      <c r="AV18" s="16"/>
      <c r="AW18" s="16">
        <f t="shared" si="29"/>
        <v>0</v>
      </c>
      <c r="AX18" s="16">
        <f t="shared" si="15"/>
        <v>0</v>
      </c>
      <c r="AY18" s="16">
        <f t="shared" si="30"/>
        <v>0</v>
      </c>
      <c r="AZ18" s="16"/>
      <c r="BA18" s="16">
        <f t="shared" si="31"/>
        <v>14257</v>
      </c>
      <c r="BB18" s="16">
        <f t="shared" si="16"/>
        <v>0</v>
      </c>
      <c r="BC18" s="16">
        <f t="shared" si="16"/>
        <v>0</v>
      </c>
      <c r="BD18" s="16"/>
      <c r="BE18" s="20">
        <f t="shared" si="32"/>
        <v>0.53336794411931276</v>
      </c>
      <c r="BF18" s="20">
        <f t="shared" si="17"/>
        <v>0.2152751100853062</v>
      </c>
      <c r="BG18" s="20">
        <f t="shared" si="17"/>
        <v>3.5083402241492478E-3</v>
      </c>
      <c r="BH18" s="16"/>
      <c r="BI18" s="16">
        <f t="shared" si="18"/>
        <v>6096</v>
      </c>
      <c r="BJ18" s="16">
        <f t="shared" si="19"/>
        <v>0</v>
      </c>
      <c r="BK18" s="16">
        <f t="shared" si="20"/>
        <v>0</v>
      </c>
      <c r="BL18" s="16"/>
      <c r="BM18" s="16">
        <f t="shared" si="33"/>
        <v>6096</v>
      </c>
      <c r="BN18" s="22">
        <f t="shared" si="39"/>
        <v>1.2011822660098521</v>
      </c>
      <c r="BO18" s="19">
        <f t="shared" si="40"/>
        <v>0.42757943466367399</v>
      </c>
    </row>
    <row r="19" spans="1:67" s="9" customFormat="1" ht="13" customHeight="1" x14ac:dyDescent="0.15">
      <c r="A19" s="7" t="s">
        <v>6</v>
      </c>
      <c r="B19" s="25"/>
      <c r="D19" s="38">
        <f t="shared" si="34"/>
        <v>14</v>
      </c>
      <c r="E19" s="41">
        <f t="shared" si="21"/>
        <v>43901</v>
      </c>
      <c r="F19" s="16"/>
      <c r="G19" s="17">
        <f t="shared" si="22"/>
        <v>1.2945842796912153</v>
      </c>
      <c r="H19" s="40">
        <f t="shared" si="0"/>
        <v>9.5342863975350163</v>
      </c>
      <c r="I19" s="16">
        <f t="shared" si="23"/>
        <v>150137</v>
      </c>
      <c r="J19" s="16">
        <f>SUM(I$5:I19)</f>
        <v>443393</v>
      </c>
      <c r="K19" s="16"/>
      <c r="L19" s="18">
        <f t="shared" ca="1" si="24"/>
        <v>1.2011822660098521</v>
      </c>
      <c r="M19" s="40">
        <f t="shared" ca="1" si="1"/>
        <v>8.6322697146228702</v>
      </c>
      <c r="N19" s="16">
        <f t="shared" ca="1" si="2"/>
        <v>5075</v>
      </c>
      <c r="O19" s="16">
        <f ca="1">SUM(N$5:N19)</f>
        <v>12339</v>
      </c>
      <c r="P19" s="16"/>
      <c r="Q19" s="19">
        <f t="shared" ca="1" si="25"/>
        <v>2.7828585476090059E-2</v>
      </c>
      <c r="R19" s="16"/>
      <c r="S19" s="16">
        <f t="shared" ca="1" si="3"/>
        <v>13842</v>
      </c>
      <c r="T19" s="19">
        <f t="shared" ca="1" si="26"/>
        <v>0.36663776910851031</v>
      </c>
      <c r="U19" s="35"/>
      <c r="V19" s="30">
        <f t="shared" si="4"/>
        <v>1.4</v>
      </c>
      <c r="W19" s="16">
        <f t="shared" si="5"/>
        <v>9556607</v>
      </c>
      <c r="X19" s="16"/>
      <c r="Y19" s="16">
        <f t="shared" si="6"/>
        <v>15014</v>
      </c>
      <c r="Z19" s="16">
        <f t="shared" si="7"/>
        <v>90082</v>
      </c>
      <c r="AA19" s="16">
        <f t="shared" si="8"/>
        <v>45041</v>
      </c>
      <c r="AB19" s="16"/>
      <c r="AC19" s="16">
        <f t="shared" si="9"/>
        <v>24864</v>
      </c>
      <c r="AD19" s="16">
        <f t="shared" si="10"/>
        <v>336329</v>
      </c>
      <c r="AE19" s="16">
        <f t="shared" si="11"/>
        <v>9638807</v>
      </c>
      <c r="AF19" s="16"/>
      <c r="AG19" s="16">
        <f>ROUND(AC19*Desire_severe*(1-SUM($BA$5:$BC18)/Population),0)</f>
        <v>24476</v>
      </c>
      <c r="AH19" s="16">
        <f>ROUND(AD19*Desire_mild*(1-SUM($BA$5:$BC18)/Population),0)</f>
        <v>165538</v>
      </c>
      <c r="AI19" s="16">
        <f>ROUND(AE19*Desire_asy*(1-SUM($BA$5:$BC18)/Population),0)</f>
        <v>189765</v>
      </c>
      <c r="AJ19" s="16"/>
      <c r="AK19" s="16">
        <f t="shared" si="35"/>
        <v>14685</v>
      </c>
      <c r="AL19" s="16">
        <f t="shared" si="13"/>
        <v>14685</v>
      </c>
      <c r="AM19" s="16">
        <f t="shared" si="27"/>
        <v>0</v>
      </c>
      <c r="AN19" s="16"/>
      <c r="AO19" s="16">
        <f t="shared" si="36"/>
        <v>14685</v>
      </c>
      <c r="AP19" s="16">
        <f t="shared" si="37"/>
        <v>0</v>
      </c>
      <c r="AQ19" s="16">
        <f t="shared" si="28"/>
        <v>0</v>
      </c>
      <c r="AR19" s="16"/>
      <c r="AS19" s="16">
        <f t="shared" si="38"/>
        <v>9791</v>
      </c>
      <c r="AT19" s="16">
        <f t="shared" si="14"/>
        <v>165538</v>
      </c>
      <c r="AU19" s="16">
        <f t="shared" si="14"/>
        <v>189765</v>
      </c>
      <c r="AV19" s="16"/>
      <c r="AW19" s="16">
        <f t="shared" si="29"/>
        <v>0</v>
      </c>
      <c r="AX19" s="16">
        <f t="shared" si="15"/>
        <v>0</v>
      </c>
      <c r="AY19" s="16">
        <f t="shared" si="30"/>
        <v>0</v>
      </c>
      <c r="AZ19" s="16"/>
      <c r="BA19" s="16">
        <f t="shared" si="31"/>
        <v>14685</v>
      </c>
      <c r="BB19" s="16">
        <f t="shared" si="16"/>
        <v>0</v>
      </c>
      <c r="BC19" s="16">
        <f t="shared" si="16"/>
        <v>0</v>
      </c>
      <c r="BD19" s="16"/>
      <c r="BE19" s="20">
        <f t="shared" si="32"/>
        <v>0.60384491634491633</v>
      </c>
      <c r="BF19" s="20">
        <f t="shared" si="17"/>
        <v>0.26783893152240812</v>
      </c>
      <c r="BG19" s="20">
        <f t="shared" si="17"/>
        <v>4.6728811978494853E-3</v>
      </c>
      <c r="BH19" s="16"/>
      <c r="BI19" s="16">
        <f t="shared" si="18"/>
        <v>7106</v>
      </c>
      <c r="BJ19" s="16">
        <f t="shared" si="19"/>
        <v>0</v>
      </c>
      <c r="BK19" s="16">
        <f t="shared" si="20"/>
        <v>0</v>
      </c>
      <c r="BL19" s="16"/>
      <c r="BM19" s="16">
        <f t="shared" si="33"/>
        <v>7106</v>
      </c>
      <c r="BN19" s="22">
        <f t="shared" si="39"/>
        <v>1.1656824146981628</v>
      </c>
      <c r="BO19" s="19">
        <f t="shared" si="40"/>
        <v>0.48389513108614235</v>
      </c>
    </row>
    <row r="20" spans="1:67" s="9" customFormat="1" ht="13" customHeight="1" x14ac:dyDescent="0.15">
      <c r="A20" s="15" t="s">
        <v>1</v>
      </c>
      <c r="B20" s="25">
        <v>10000000</v>
      </c>
      <c r="D20" s="38">
        <f t="shared" si="34"/>
        <v>15</v>
      </c>
      <c r="E20" s="41">
        <f t="shared" si="21"/>
        <v>43906</v>
      </c>
      <c r="F20" s="16"/>
      <c r="G20" s="17">
        <f t="shared" si="22"/>
        <v>0.62995909757415169</v>
      </c>
      <c r="H20" s="40">
        <f t="shared" si="0"/>
        <v>19.733990997373194</v>
      </c>
      <c r="I20" s="16">
        <f t="shared" si="23"/>
        <v>194365</v>
      </c>
      <c r="J20" s="16">
        <f>SUM(I$5:I20)</f>
        <v>637758</v>
      </c>
      <c r="K20" s="16"/>
      <c r="L20" s="18">
        <f t="shared" ca="1" si="24"/>
        <v>1.1656824146981628</v>
      </c>
      <c r="M20" s="40">
        <f t="shared" ca="1" si="1"/>
        <v>10.629983977066866</v>
      </c>
      <c r="N20" s="16">
        <f t="shared" ca="1" si="2"/>
        <v>6096</v>
      </c>
      <c r="O20" s="16">
        <f ca="1">SUM(N$5:N20)</f>
        <v>18435</v>
      </c>
      <c r="P20" s="16"/>
      <c r="Q20" s="19">
        <f t="shared" ca="1" si="25"/>
        <v>2.8905948651369327E-2</v>
      </c>
      <c r="R20" s="16"/>
      <c r="S20" s="16">
        <f t="shared" ca="1" si="3"/>
        <v>14257</v>
      </c>
      <c r="T20" s="19">
        <f t="shared" ca="1" si="26"/>
        <v>0.42757943466367399</v>
      </c>
      <c r="U20" s="35"/>
      <c r="V20" s="30">
        <f t="shared" si="4"/>
        <v>0.7</v>
      </c>
      <c r="W20" s="16">
        <f t="shared" si="5"/>
        <v>9362242</v>
      </c>
      <c r="X20" s="16"/>
      <c r="Y20" s="16">
        <f t="shared" si="6"/>
        <v>19437</v>
      </c>
      <c r="Z20" s="16">
        <f t="shared" si="7"/>
        <v>116619</v>
      </c>
      <c r="AA20" s="16">
        <f t="shared" si="8"/>
        <v>58309</v>
      </c>
      <c r="AB20" s="16"/>
      <c r="AC20" s="16">
        <f t="shared" si="9"/>
        <v>29243</v>
      </c>
      <c r="AD20" s="16">
        <f t="shared" si="10"/>
        <v>361760</v>
      </c>
      <c r="AE20" s="16">
        <f t="shared" si="11"/>
        <v>9608997</v>
      </c>
      <c r="AF20" s="16"/>
      <c r="AG20" s="16">
        <f>ROUND(AC20*Desire_severe*(1-SUM($BA$5:$BC19)/Population),0)</f>
        <v>28743</v>
      </c>
      <c r="AH20" s="16">
        <f>ROUND(AD20*Desire_mild*(1-SUM($BA$5:$BC19)/Population),0)</f>
        <v>177789</v>
      </c>
      <c r="AI20" s="16">
        <f>ROUND(AE20*Desire_asy*(1-SUM($BA$5:$BC19)/Population),0)</f>
        <v>188896</v>
      </c>
      <c r="AJ20" s="16"/>
      <c r="AK20" s="16">
        <f t="shared" si="35"/>
        <v>15126</v>
      </c>
      <c r="AL20" s="16">
        <f t="shared" si="13"/>
        <v>15126</v>
      </c>
      <c r="AM20" s="16">
        <f t="shared" si="27"/>
        <v>0</v>
      </c>
      <c r="AN20" s="16"/>
      <c r="AO20" s="16">
        <f t="shared" si="36"/>
        <v>15126</v>
      </c>
      <c r="AP20" s="16">
        <f t="shared" si="37"/>
        <v>0</v>
      </c>
      <c r="AQ20" s="16">
        <f t="shared" si="28"/>
        <v>0</v>
      </c>
      <c r="AR20" s="16"/>
      <c r="AS20" s="16">
        <f t="shared" si="38"/>
        <v>13617</v>
      </c>
      <c r="AT20" s="16">
        <f t="shared" si="14"/>
        <v>177789</v>
      </c>
      <c r="AU20" s="16">
        <f t="shared" si="14"/>
        <v>188896</v>
      </c>
      <c r="AV20" s="16"/>
      <c r="AW20" s="16">
        <f t="shared" si="29"/>
        <v>0</v>
      </c>
      <c r="AX20" s="16">
        <f t="shared" si="15"/>
        <v>0</v>
      </c>
      <c r="AY20" s="16">
        <f t="shared" si="30"/>
        <v>0</v>
      </c>
      <c r="AZ20" s="16"/>
      <c r="BA20" s="16">
        <f t="shared" si="31"/>
        <v>15126</v>
      </c>
      <c r="BB20" s="16">
        <f t="shared" si="16"/>
        <v>0</v>
      </c>
      <c r="BC20" s="16">
        <f t="shared" si="16"/>
        <v>0</v>
      </c>
      <c r="BD20" s="16"/>
      <c r="BE20" s="20">
        <f t="shared" si="32"/>
        <v>0.66467188728926585</v>
      </c>
      <c r="BF20" s="20">
        <f t="shared" si="17"/>
        <v>0.3223656567890314</v>
      </c>
      <c r="BG20" s="20">
        <f t="shared" si="17"/>
        <v>6.0681671562599097E-3</v>
      </c>
      <c r="BH20" s="16"/>
      <c r="BI20" s="16">
        <f t="shared" si="18"/>
        <v>8053</v>
      </c>
      <c r="BJ20" s="16">
        <f t="shared" si="19"/>
        <v>0</v>
      </c>
      <c r="BK20" s="16">
        <f t="shared" si="20"/>
        <v>0</v>
      </c>
      <c r="BL20" s="16"/>
      <c r="BM20" s="16">
        <f t="shared" si="33"/>
        <v>8053</v>
      </c>
      <c r="BN20" s="22">
        <f t="shared" si="39"/>
        <v>1.1332676611314383</v>
      </c>
      <c r="BO20" s="19">
        <f t="shared" si="40"/>
        <v>0.53239455242628586</v>
      </c>
    </row>
    <row r="21" spans="1:67" s="9" customFormat="1" ht="13" customHeight="1" x14ac:dyDescent="0.15">
      <c r="A21" s="15" t="s">
        <v>56</v>
      </c>
      <c r="B21" s="8">
        <v>1</v>
      </c>
      <c r="D21" s="38">
        <f t="shared" si="34"/>
        <v>16</v>
      </c>
      <c r="E21" s="41">
        <f t="shared" si="21"/>
        <v>43911</v>
      </c>
      <c r="F21" s="16"/>
      <c r="G21" s="17">
        <f t="shared" si="22"/>
        <v>0.61915845869881247</v>
      </c>
      <c r="H21" s="40">
        <f t="shared" si="0"/>
        <v>36.458321990384064</v>
      </c>
      <c r="I21" s="16">
        <f t="shared" si="23"/>
        <v>122442</v>
      </c>
      <c r="J21" s="16">
        <f>SUM(I$5:I21)</f>
        <v>760200</v>
      </c>
      <c r="K21" s="16"/>
      <c r="L21" s="18">
        <f t="shared" ca="1" si="24"/>
        <v>1.1332676611314383</v>
      </c>
      <c r="M21" s="40">
        <f t="shared" ca="1" si="1"/>
        <v>12.645787777456698</v>
      </c>
      <c r="N21" s="16">
        <f t="shared" ca="1" si="2"/>
        <v>7106</v>
      </c>
      <c r="O21" s="16">
        <f ca="1">SUM(N$5:N21)</f>
        <v>25541</v>
      </c>
      <c r="P21" s="16"/>
      <c r="Q21" s="19">
        <f t="shared" ca="1" si="25"/>
        <v>3.3597737437516442E-2</v>
      </c>
      <c r="R21" s="16"/>
      <c r="S21" s="16">
        <f t="shared" ca="1" si="3"/>
        <v>14685</v>
      </c>
      <c r="T21" s="19">
        <f t="shared" ca="1" si="26"/>
        <v>0.48389513108614235</v>
      </c>
      <c r="U21" s="35"/>
      <c r="V21" s="30">
        <f t="shared" si="4"/>
        <v>0.7</v>
      </c>
      <c r="W21" s="16">
        <f t="shared" si="5"/>
        <v>9239800</v>
      </c>
      <c r="X21" s="16"/>
      <c r="Y21" s="16">
        <f t="shared" si="6"/>
        <v>12244</v>
      </c>
      <c r="Z21" s="16">
        <f t="shared" si="7"/>
        <v>73465</v>
      </c>
      <c r="AA21" s="16">
        <f t="shared" si="8"/>
        <v>36733</v>
      </c>
      <c r="AB21" s="16"/>
      <c r="AC21" s="16">
        <f t="shared" si="9"/>
        <v>22122</v>
      </c>
      <c r="AD21" s="16">
        <f t="shared" si="10"/>
        <v>320404</v>
      </c>
      <c r="AE21" s="16">
        <f t="shared" si="11"/>
        <v>9657474</v>
      </c>
      <c r="AF21" s="16"/>
      <c r="AG21" s="16">
        <f>ROUND(AC21*Desire_severe*(1-SUM($BA$5:$BC20)/Population),0)</f>
        <v>21711</v>
      </c>
      <c r="AH21" s="16">
        <f>ROUND(AD21*Desire_mild*(1-SUM($BA$5:$BC20)/Population),0)</f>
        <v>157222</v>
      </c>
      <c r="AI21" s="16">
        <f>ROUND(AE21*Desire_asy*(1-SUM($BA$5:$BC20)/Population),0)</f>
        <v>189557</v>
      </c>
      <c r="AJ21" s="16"/>
      <c r="AK21" s="16">
        <f t="shared" si="35"/>
        <v>15580</v>
      </c>
      <c r="AL21" s="16">
        <f t="shared" si="13"/>
        <v>15580</v>
      </c>
      <c r="AM21" s="16">
        <f t="shared" si="27"/>
        <v>0</v>
      </c>
      <c r="AN21" s="16"/>
      <c r="AO21" s="16">
        <f t="shared" si="36"/>
        <v>15580</v>
      </c>
      <c r="AP21" s="16">
        <f t="shared" si="37"/>
        <v>0</v>
      </c>
      <c r="AQ21" s="16">
        <f t="shared" si="28"/>
        <v>0</v>
      </c>
      <c r="AR21" s="16"/>
      <c r="AS21" s="16">
        <f t="shared" si="38"/>
        <v>6131</v>
      </c>
      <c r="AT21" s="16">
        <f t="shared" si="38"/>
        <v>157222</v>
      </c>
      <c r="AU21" s="16">
        <f t="shared" si="38"/>
        <v>189557</v>
      </c>
      <c r="AV21" s="16"/>
      <c r="AW21" s="16">
        <f t="shared" si="29"/>
        <v>0</v>
      </c>
      <c r="AX21" s="16">
        <f t="shared" si="15"/>
        <v>0</v>
      </c>
      <c r="AY21" s="16">
        <f t="shared" si="30"/>
        <v>0</v>
      </c>
      <c r="AZ21" s="16"/>
      <c r="BA21" s="16">
        <f t="shared" si="31"/>
        <v>15580</v>
      </c>
      <c r="BB21" s="16">
        <f t="shared" si="31"/>
        <v>0</v>
      </c>
      <c r="BC21" s="16">
        <f t="shared" si="31"/>
        <v>0</v>
      </c>
      <c r="BD21" s="16"/>
      <c r="BE21" s="20">
        <f t="shared" si="32"/>
        <v>0.55347617756079925</v>
      </c>
      <c r="BF21" s="20">
        <f t="shared" si="32"/>
        <v>0.22928864808179672</v>
      </c>
      <c r="BG21" s="20">
        <f t="shared" si="32"/>
        <v>3.8035825931294251E-3</v>
      </c>
      <c r="BH21" s="16"/>
      <c r="BI21" s="16">
        <f t="shared" si="18"/>
        <v>6913</v>
      </c>
      <c r="BJ21" s="16">
        <f t="shared" si="19"/>
        <v>0</v>
      </c>
      <c r="BK21" s="16">
        <f t="shared" si="20"/>
        <v>0</v>
      </c>
      <c r="BL21" s="16"/>
      <c r="BM21" s="16">
        <f t="shared" si="33"/>
        <v>6913</v>
      </c>
      <c r="BN21" s="22">
        <f t="shared" si="39"/>
        <v>0.85843784924872724</v>
      </c>
      <c r="BO21" s="19">
        <f t="shared" si="40"/>
        <v>0.44370988446726572</v>
      </c>
    </row>
    <row r="22" spans="1:67" s="9" customFormat="1" ht="13" customHeight="1" x14ac:dyDescent="0.15">
      <c r="A22" s="15"/>
      <c r="B22" s="8"/>
      <c r="D22" s="38">
        <f t="shared" si="34"/>
        <v>17</v>
      </c>
      <c r="E22" s="41">
        <f t="shared" si="21"/>
        <v>43916</v>
      </c>
      <c r="F22" s="16"/>
      <c r="G22" s="17">
        <f t="shared" si="22"/>
        <v>0.61252324860508367</v>
      </c>
      <c r="H22" s="40">
        <f t="shared" si="0"/>
        <v>64.11266815249877</v>
      </c>
      <c r="I22" s="16">
        <f t="shared" si="23"/>
        <v>75811</v>
      </c>
      <c r="J22" s="16">
        <f>SUM(I$5:I22)</f>
        <v>836011</v>
      </c>
      <c r="K22" s="16"/>
      <c r="L22" s="18">
        <f t="shared" ca="1" si="24"/>
        <v>0.85843784924872724</v>
      </c>
      <c r="M22" s="40">
        <f t="shared" ca="1" si="1"/>
        <v>18.520737216111979</v>
      </c>
      <c r="N22" s="16">
        <f t="shared" ca="1" si="2"/>
        <v>8053</v>
      </c>
      <c r="O22" s="16">
        <f ca="1">SUM(N$5:N22)</f>
        <v>33594</v>
      </c>
      <c r="P22" s="16"/>
      <c r="Q22" s="19">
        <f t="shared" ca="1" si="25"/>
        <v>4.0183681793660608E-2</v>
      </c>
      <c r="R22" s="16"/>
      <c r="S22" s="16">
        <f t="shared" ca="1" si="3"/>
        <v>15126</v>
      </c>
      <c r="T22" s="19">
        <f t="shared" ca="1" si="26"/>
        <v>0.53239455242628586</v>
      </c>
      <c r="U22" s="35"/>
      <c r="V22" s="30">
        <f t="shared" si="4"/>
        <v>0.7</v>
      </c>
      <c r="W22" s="16">
        <f t="shared" si="5"/>
        <v>9163989</v>
      </c>
      <c r="X22" s="16"/>
      <c r="Y22" s="16">
        <f t="shared" si="6"/>
        <v>7581</v>
      </c>
      <c r="Z22" s="16">
        <f t="shared" si="7"/>
        <v>45487</v>
      </c>
      <c r="AA22" s="16">
        <f t="shared" si="8"/>
        <v>22743</v>
      </c>
      <c r="AB22" s="16"/>
      <c r="AC22" s="16">
        <f t="shared" si="9"/>
        <v>17505</v>
      </c>
      <c r="AD22" s="16">
        <f t="shared" si="10"/>
        <v>293592</v>
      </c>
      <c r="AE22" s="16">
        <f t="shared" si="11"/>
        <v>9688903</v>
      </c>
      <c r="AF22" s="16"/>
      <c r="AG22" s="16">
        <f>ROUND(AC22*Desire_severe*(1-SUM($BA$5:$BC21)/Population),0)</f>
        <v>17152</v>
      </c>
      <c r="AH22" s="16">
        <f>ROUND(AD22*Desire_mild*(1-SUM($BA$5:$BC21)/Population),0)</f>
        <v>143837</v>
      </c>
      <c r="AI22" s="16">
        <f>ROUND(AE22*Desire_asy*(1-SUM($BA$5:$BC21)/Population),0)</f>
        <v>189872</v>
      </c>
      <c r="AJ22" s="16"/>
      <c r="AK22" s="16">
        <f t="shared" si="35"/>
        <v>16047</v>
      </c>
      <c r="AL22" s="16">
        <f t="shared" si="13"/>
        <v>16047</v>
      </c>
      <c r="AM22" s="16">
        <f t="shared" si="27"/>
        <v>0</v>
      </c>
      <c r="AN22" s="16"/>
      <c r="AO22" s="16">
        <f t="shared" si="36"/>
        <v>16047</v>
      </c>
      <c r="AP22" s="16">
        <f t="shared" si="37"/>
        <v>0</v>
      </c>
      <c r="AQ22" s="16">
        <f t="shared" si="28"/>
        <v>0</v>
      </c>
      <c r="AR22" s="16"/>
      <c r="AS22" s="16">
        <f t="shared" si="38"/>
        <v>1105</v>
      </c>
      <c r="AT22" s="16">
        <f t="shared" si="38"/>
        <v>143837</v>
      </c>
      <c r="AU22" s="16">
        <f t="shared" si="38"/>
        <v>189872</v>
      </c>
      <c r="AV22" s="16"/>
      <c r="AW22" s="16">
        <f t="shared" si="29"/>
        <v>0</v>
      </c>
      <c r="AX22" s="16">
        <f t="shared" si="15"/>
        <v>0</v>
      </c>
      <c r="AY22" s="16">
        <f t="shared" si="30"/>
        <v>0</v>
      </c>
      <c r="AZ22" s="16"/>
      <c r="BA22" s="16">
        <f t="shared" si="31"/>
        <v>16047</v>
      </c>
      <c r="BB22" s="16">
        <f t="shared" si="31"/>
        <v>0</v>
      </c>
      <c r="BC22" s="16">
        <f t="shared" si="31"/>
        <v>0</v>
      </c>
      <c r="BD22" s="16"/>
      <c r="BE22" s="20">
        <f t="shared" si="32"/>
        <v>0.43307626392459297</v>
      </c>
      <c r="BF22" s="20">
        <f t="shared" si="32"/>
        <v>0.15493269571377966</v>
      </c>
      <c r="BG22" s="20">
        <f t="shared" si="32"/>
        <v>2.3473245629561986E-3</v>
      </c>
      <c r="BH22" s="16"/>
      <c r="BI22" s="16">
        <f t="shared" si="18"/>
        <v>5578</v>
      </c>
      <c r="BJ22" s="16">
        <f t="shared" si="19"/>
        <v>0</v>
      </c>
      <c r="BK22" s="16">
        <f t="shared" si="20"/>
        <v>0</v>
      </c>
      <c r="BL22" s="16"/>
      <c r="BM22" s="16">
        <f t="shared" si="33"/>
        <v>5578</v>
      </c>
      <c r="BN22" s="22">
        <f t="shared" si="39"/>
        <v>0.80688557789671633</v>
      </c>
      <c r="BO22" s="19">
        <f t="shared" si="40"/>
        <v>0.34760391350408176</v>
      </c>
    </row>
    <row r="23" spans="1:67" s="9" customFormat="1" ht="13" customHeight="1" x14ac:dyDescent="0.15">
      <c r="A23" s="15" t="s">
        <v>43</v>
      </c>
      <c r="B23" s="26">
        <v>1E-3</v>
      </c>
      <c r="D23" s="38">
        <f t="shared" si="34"/>
        <v>18</v>
      </c>
      <c r="E23" s="41">
        <f t="shared" si="21"/>
        <v>43921</v>
      </c>
      <c r="F23" s="16"/>
      <c r="G23" s="17">
        <f t="shared" si="22"/>
        <v>0.60847187526918767</v>
      </c>
      <c r="H23" s="40">
        <f t="shared" si="0"/>
        <v>109.96401515652877</v>
      </c>
      <c r="I23" s="16">
        <f t="shared" si="23"/>
        <v>46436</v>
      </c>
      <c r="J23" s="16">
        <f>SUM(I$5:I23)</f>
        <v>882447</v>
      </c>
      <c r="K23" s="16"/>
      <c r="L23" s="18">
        <f t="shared" ca="1" si="24"/>
        <v>0.80688557789671633</v>
      </c>
      <c r="M23" s="40">
        <f t="shared" ca="1" si="1"/>
        <v>26.863521178819383</v>
      </c>
      <c r="N23" s="16">
        <f t="shared" ca="1" si="2"/>
        <v>6913</v>
      </c>
      <c r="O23" s="16">
        <f ca="1">SUM(N$5:N23)</f>
        <v>40507</v>
      </c>
      <c r="P23" s="16"/>
      <c r="Q23" s="19">
        <f t="shared" ca="1" si="25"/>
        <v>4.5903040069261949E-2</v>
      </c>
      <c r="R23" s="16"/>
      <c r="S23" s="16">
        <f t="shared" ca="1" si="3"/>
        <v>15580</v>
      </c>
      <c r="T23" s="19">
        <f t="shared" ca="1" si="26"/>
        <v>0.44370988446726572</v>
      </c>
      <c r="U23" s="35"/>
      <c r="V23" s="30">
        <f t="shared" si="4"/>
        <v>0.7</v>
      </c>
      <c r="W23" s="16">
        <f t="shared" si="5"/>
        <v>9117553</v>
      </c>
      <c r="X23" s="16"/>
      <c r="Y23" s="16">
        <f t="shared" si="6"/>
        <v>4644</v>
      </c>
      <c r="Z23" s="16">
        <f t="shared" si="7"/>
        <v>27862</v>
      </c>
      <c r="AA23" s="16">
        <f t="shared" si="8"/>
        <v>13930</v>
      </c>
      <c r="AB23" s="16"/>
      <c r="AC23" s="16">
        <f t="shared" si="9"/>
        <v>14598</v>
      </c>
      <c r="AD23" s="16">
        <f t="shared" si="10"/>
        <v>276701</v>
      </c>
      <c r="AE23" s="16">
        <f t="shared" si="11"/>
        <v>9708701</v>
      </c>
      <c r="AF23" s="16"/>
      <c r="AG23" s="16">
        <f>ROUND(AC23*Desire_severe*(1-SUM($BA$5:$BC22)/Population),0)</f>
        <v>14280</v>
      </c>
      <c r="AH23" s="16">
        <f>ROUND(AD23*Desire_mild*(1-SUM($BA$5:$BC22)/Population),0)</f>
        <v>135340</v>
      </c>
      <c r="AI23" s="16">
        <f>ROUND(AE23*Desire_asy*(1-SUM($BA$5:$BC22)/Population),0)</f>
        <v>189948</v>
      </c>
      <c r="AJ23" s="16"/>
      <c r="AK23" s="16">
        <f t="shared" si="35"/>
        <v>16528</v>
      </c>
      <c r="AL23" s="16">
        <f t="shared" si="13"/>
        <v>16528</v>
      </c>
      <c r="AM23" s="16">
        <f t="shared" si="27"/>
        <v>0</v>
      </c>
      <c r="AN23" s="16"/>
      <c r="AO23" s="16">
        <f t="shared" si="36"/>
        <v>14280</v>
      </c>
      <c r="AP23" s="16">
        <f t="shared" si="37"/>
        <v>2248</v>
      </c>
      <c r="AQ23" s="16">
        <f t="shared" si="28"/>
        <v>0</v>
      </c>
      <c r="AR23" s="16"/>
      <c r="AS23" s="16">
        <f t="shared" si="38"/>
        <v>0</v>
      </c>
      <c r="AT23" s="16">
        <f t="shared" si="38"/>
        <v>133092</v>
      </c>
      <c r="AU23" s="16">
        <f t="shared" si="38"/>
        <v>189948</v>
      </c>
      <c r="AV23" s="16"/>
      <c r="AW23" s="16">
        <f t="shared" si="29"/>
        <v>0</v>
      </c>
      <c r="AX23" s="16">
        <f t="shared" si="15"/>
        <v>0</v>
      </c>
      <c r="AY23" s="16">
        <f t="shared" si="30"/>
        <v>0</v>
      </c>
      <c r="AZ23" s="16"/>
      <c r="BA23" s="16">
        <f t="shared" si="31"/>
        <v>14280</v>
      </c>
      <c r="BB23" s="16">
        <f t="shared" si="31"/>
        <v>2248</v>
      </c>
      <c r="BC23" s="16">
        <f t="shared" si="31"/>
        <v>0</v>
      </c>
      <c r="BD23" s="16"/>
      <c r="BE23" s="20">
        <f t="shared" si="32"/>
        <v>0.31812577065351416</v>
      </c>
      <c r="BF23" s="20">
        <f t="shared" si="32"/>
        <v>0.10069352839346443</v>
      </c>
      <c r="BG23" s="20">
        <f t="shared" si="32"/>
        <v>1.4347954479183157E-3</v>
      </c>
      <c r="BH23" s="16"/>
      <c r="BI23" s="16">
        <f t="shared" si="18"/>
        <v>3653</v>
      </c>
      <c r="BJ23" s="16">
        <f t="shared" si="19"/>
        <v>185</v>
      </c>
      <c r="BK23" s="16">
        <f t="shared" si="20"/>
        <v>0</v>
      </c>
      <c r="BL23" s="16"/>
      <c r="BM23" s="16">
        <f t="shared" si="33"/>
        <v>3838</v>
      </c>
      <c r="BN23" s="22">
        <f t="shared" si="39"/>
        <v>0.68806023664395843</v>
      </c>
      <c r="BO23" s="19">
        <f t="shared" si="40"/>
        <v>0.23221200387221685</v>
      </c>
    </row>
    <row r="24" spans="1:67" s="9" customFormat="1" ht="13" customHeight="1" x14ac:dyDescent="0.15">
      <c r="A24" s="15" t="s">
        <v>44</v>
      </c>
      <c r="B24" s="26">
        <v>2.5000000000000001E-2</v>
      </c>
      <c r="D24" s="38">
        <f t="shared" si="34"/>
        <v>19</v>
      </c>
      <c r="E24" s="41">
        <f t="shared" si="21"/>
        <v>43926</v>
      </c>
      <c r="F24" s="16"/>
      <c r="G24" s="17">
        <f t="shared" si="22"/>
        <v>0.60601663422403118</v>
      </c>
      <c r="H24" s="40">
        <f t="shared" si="0"/>
        <v>186.05573779112837</v>
      </c>
      <c r="I24" s="16">
        <f t="shared" si="23"/>
        <v>28255</v>
      </c>
      <c r="J24" s="16">
        <f>SUM(I$5:I24)</f>
        <v>910702</v>
      </c>
      <c r="K24" s="16"/>
      <c r="L24" s="18">
        <f t="shared" ca="1" si="24"/>
        <v>0.68806023664395843</v>
      </c>
      <c r="M24" s="40">
        <f t="shared" ca="1" si="1"/>
        <v>43.324785154043397</v>
      </c>
      <c r="N24" s="16">
        <f t="shared" ca="1" si="2"/>
        <v>5578</v>
      </c>
      <c r="O24" s="16">
        <f ca="1">SUM(N$5:N24)</f>
        <v>46085</v>
      </c>
      <c r="P24" s="16"/>
      <c r="Q24" s="19">
        <f t="shared" ca="1" si="25"/>
        <v>5.0603819910354869E-2</v>
      </c>
      <c r="R24" s="16"/>
      <c r="S24" s="16">
        <f t="shared" ca="1" si="3"/>
        <v>16047</v>
      </c>
      <c r="T24" s="19">
        <f t="shared" ca="1" si="26"/>
        <v>0.34760391350408176</v>
      </c>
      <c r="U24" s="35"/>
      <c r="V24" s="30">
        <f t="shared" si="4"/>
        <v>0.7</v>
      </c>
      <c r="W24" s="16">
        <f t="shared" si="5"/>
        <v>9089298</v>
      </c>
      <c r="X24" s="16"/>
      <c r="Y24" s="16">
        <f t="shared" si="6"/>
        <v>2826</v>
      </c>
      <c r="Z24" s="16">
        <f t="shared" si="7"/>
        <v>16953</v>
      </c>
      <c r="AA24" s="16">
        <f t="shared" si="8"/>
        <v>8476</v>
      </c>
      <c r="AB24" s="16"/>
      <c r="AC24" s="16">
        <f t="shared" si="9"/>
        <v>12798</v>
      </c>
      <c r="AD24" s="16">
        <f t="shared" si="10"/>
        <v>266247</v>
      </c>
      <c r="AE24" s="16">
        <f t="shared" si="11"/>
        <v>9720955</v>
      </c>
      <c r="AF24" s="16"/>
      <c r="AG24" s="16">
        <f>ROUND(AC24*Desire_severe*(1-SUM($BA$5:$BC23)/Population),0)</f>
        <v>12498</v>
      </c>
      <c r="AH24" s="16">
        <f>ROUND(AD24*Desire_mild*(1-SUM($BA$5:$BC23)/Population),0)</f>
        <v>130006</v>
      </c>
      <c r="AI24" s="16">
        <f>ROUND(AE24*Desire_asy*(1-SUM($BA$5:$BC23)/Population),0)</f>
        <v>189867</v>
      </c>
      <c r="AJ24" s="16"/>
      <c r="AK24" s="16">
        <f t="shared" si="35"/>
        <v>17024</v>
      </c>
      <c r="AL24" s="16">
        <f t="shared" si="13"/>
        <v>17024</v>
      </c>
      <c r="AM24" s="16">
        <f t="shared" si="27"/>
        <v>0</v>
      </c>
      <c r="AN24" s="16"/>
      <c r="AO24" s="16">
        <f t="shared" si="36"/>
        <v>12498</v>
      </c>
      <c r="AP24" s="16">
        <f t="shared" si="37"/>
        <v>4526</v>
      </c>
      <c r="AQ24" s="16">
        <f t="shared" si="28"/>
        <v>0</v>
      </c>
      <c r="AR24" s="16"/>
      <c r="AS24" s="16">
        <f t="shared" si="38"/>
        <v>0</v>
      </c>
      <c r="AT24" s="16">
        <f t="shared" si="38"/>
        <v>125480</v>
      </c>
      <c r="AU24" s="16">
        <f t="shared" si="38"/>
        <v>189867</v>
      </c>
      <c r="AV24" s="16"/>
      <c r="AW24" s="16">
        <f t="shared" si="29"/>
        <v>0</v>
      </c>
      <c r="AX24" s="16">
        <f t="shared" si="15"/>
        <v>0</v>
      </c>
      <c r="AY24" s="16">
        <f t="shared" si="30"/>
        <v>0</v>
      </c>
      <c r="AZ24" s="16"/>
      <c r="BA24" s="16">
        <f t="shared" si="31"/>
        <v>12498</v>
      </c>
      <c r="BB24" s="16">
        <f t="shared" si="31"/>
        <v>4526</v>
      </c>
      <c r="BC24" s="16">
        <f t="shared" si="31"/>
        <v>0</v>
      </c>
      <c r="BD24" s="16"/>
      <c r="BE24" s="20">
        <f t="shared" si="32"/>
        <v>0.22081575246132207</v>
      </c>
      <c r="BF24" s="20">
        <f t="shared" si="32"/>
        <v>6.3673956889655089E-2</v>
      </c>
      <c r="BG24" s="20">
        <f t="shared" si="32"/>
        <v>8.7193079280790823E-4</v>
      </c>
      <c r="BH24" s="16"/>
      <c r="BI24" s="16">
        <f t="shared" si="18"/>
        <v>2227</v>
      </c>
      <c r="BJ24" s="16">
        <f t="shared" si="19"/>
        <v>239</v>
      </c>
      <c r="BK24" s="16">
        <f t="shared" si="20"/>
        <v>0</v>
      </c>
      <c r="BL24" s="16"/>
      <c r="BM24" s="16">
        <f t="shared" si="33"/>
        <v>2466</v>
      </c>
      <c r="BN24" s="22">
        <f t="shared" si="39"/>
        <v>0.64252214695153731</v>
      </c>
      <c r="BO24" s="19">
        <f t="shared" si="40"/>
        <v>0.14485432330827067</v>
      </c>
    </row>
    <row r="25" spans="1:67" s="9" customFormat="1" ht="13" customHeight="1" x14ac:dyDescent="0.15">
      <c r="A25" s="15"/>
      <c r="B25" s="23"/>
      <c r="D25" s="38">
        <f t="shared" si="34"/>
        <v>20</v>
      </c>
      <c r="E25" s="41">
        <f t="shared" si="21"/>
        <v>43931</v>
      </c>
      <c r="F25" s="16"/>
      <c r="G25" s="17">
        <f t="shared" si="22"/>
        <v>0.60450855574373652</v>
      </c>
      <c r="H25" s="40">
        <f t="shared" si="0"/>
        <v>312.38529259132986</v>
      </c>
      <c r="I25" s="16">
        <f t="shared" si="23"/>
        <v>17123</v>
      </c>
      <c r="J25" s="16">
        <f>SUM(I$5:I25)</f>
        <v>927825</v>
      </c>
      <c r="K25" s="16"/>
      <c r="L25" s="18">
        <f t="shared" ca="1" si="24"/>
        <v>0.64252214695153731</v>
      </c>
      <c r="M25" s="40">
        <f t="shared" ca="1" si="1"/>
        <v>71.88112252766976</v>
      </c>
      <c r="N25" s="16">
        <f t="shared" ca="1" si="2"/>
        <v>3838</v>
      </c>
      <c r="O25" s="16">
        <f ca="1">SUM(N$5:N25)</f>
        <v>49923</v>
      </c>
      <c r="P25" s="16"/>
      <c r="Q25" s="19">
        <f t="shared" ca="1" si="25"/>
        <v>5.3806482903564788E-2</v>
      </c>
      <c r="R25" s="16"/>
      <c r="S25" s="16">
        <f t="shared" ca="1" si="3"/>
        <v>16528</v>
      </c>
      <c r="T25" s="19">
        <f t="shared" ca="1" si="26"/>
        <v>0.23221200387221685</v>
      </c>
      <c r="U25" s="35"/>
      <c r="V25" s="30">
        <f t="shared" si="4"/>
        <v>0.7</v>
      </c>
      <c r="W25" s="16">
        <f t="shared" si="5"/>
        <v>9072175</v>
      </c>
      <c r="X25" s="16"/>
      <c r="Y25" s="16">
        <f t="shared" si="6"/>
        <v>1712</v>
      </c>
      <c r="Z25" s="16">
        <f t="shared" si="7"/>
        <v>10274</v>
      </c>
      <c r="AA25" s="16">
        <f t="shared" si="8"/>
        <v>5137</v>
      </c>
      <c r="AB25" s="16"/>
      <c r="AC25" s="16">
        <f t="shared" si="9"/>
        <v>11695</v>
      </c>
      <c r="AD25" s="16">
        <f t="shared" si="10"/>
        <v>259846</v>
      </c>
      <c r="AE25" s="16">
        <f t="shared" si="11"/>
        <v>9728459</v>
      </c>
      <c r="AF25" s="16"/>
      <c r="AG25" s="16">
        <f>ROUND(AC25*Desire_severe*(1-SUM($BA$5:$BC24)/Population),0)</f>
        <v>11401</v>
      </c>
      <c r="AH25" s="16">
        <f>ROUND(AD25*Desire_mild*(1-SUM($BA$5:$BC24)/Population),0)</f>
        <v>126660</v>
      </c>
      <c r="AI25" s="16">
        <f>ROUND(AE25*Desire_asy*(1-SUM($BA$5:$BC24)/Population),0)</f>
        <v>189682</v>
      </c>
      <c r="AJ25" s="16"/>
      <c r="AK25" s="16">
        <f t="shared" si="35"/>
        <v>17535</v>
      </c>
      <c r="AL25" s="16">
        <f t="shared" si="13"/>
        <v>17535</v>
      </c>
      <c r="AM25" s="16">
        <f t="shared" si="27"/>
        <v>0</v>
      </c>
      <c r="AN25" s="16"/>
      <c r="AO25" s="16">
        <f t="shared" si="36"/>
        <v>11401</v>
      </c>
      <c r="AP25" s="16">
        <f t="shared" si="37"/>
        <v>6134</v>
      </c>
      <c r="AQ25" s="16">
        <f t="shared" si="28"/>
        <v>0</v>
      </c>
      <c r="AR25" s="16"/>
      <c r="AS25" s="16">
        <f t="shared" si="38"/>
        <v>0</v>
      </c>
      <c r="AT25" s="16">
        <f t="shared" si="38"/>
        <v>120526</v>
      </c>
      <c r="AU25" s="16">
        <f t="shared" si="38"/>
        <v>189682</v>
      </c>
      <c r="AV25" s="16"/>
      <c r="AW25" s="16">
        <f t="shared" si="29"/>
        <v>0</v>
      </c>
      <c r="AX25" s="16">
        <f t="shared" si="15"/>
        <v>0</v>
      </c>
      <c r="AY25" s="16">
        <f t="shared" si="30"/>
        <v>0</v>
      </c>
      <c r="AZ25" s="16"/>
      <c r="BA25" s="16">
        <f t="shared" si="31"/>
        <v>11401</v>
      </c>
      <c r="BB25" s="16">
        <f t="shared" si="31"/>
        <v>6134</v>
      </c>
      <c r="BC25" s="16">
        <f t="shared" si="31"/>
        <v>0</v>
      </c>
      <c r="BD25" s="16"/>
      <c r="BE25" s="20">
        <f t="shared" si="32"/>
        <v>0.146387345019239</v>
      </c>
      <c r="BF25" s="20">
        <f t="shared" si="32"/>
        <v>3.9538803752992159E-2</v>
      </c>
      <c r="BG25" s="20">
        <f t="shared" si="32"/>
        <v>5.2803840772726698E-4</v>
      </c>
      <c r="BH25" s="16"/>
      <c r="BI25" s="16">
        <f t="shared" si="18"/>
        <v>1354</v>
      </c>
      <c r="BJ25" s="16">
        <f t="shared" si="19"/>
        <v>206</v>
      </c>
      <c r="BK25" s="16">
        <f t="shared" si="20"/>
        <v>0</v>
      </c>
      <c r="BL25" s="16"/>
      <c r="BM25" s="16">
        <f t="shared" si="33"/>
        <v>1560</v>
      </c>
      <c r="BN25" s="22">
        <f t="shared" si="39"/>
        <v>0.63260340632603407</v>
      </c>
      <c r="BO25" s="19">
        <f t="shared" si="40"/>
        <v>8.8964927288280579E-2</v>
      </c>
    </row>
    <row r="26" spans="1:67" s="9" customFormat="1" ht="13" customHeight="1" x14ac:dyDescent="0.15">
      <c r="A26" s="15" t="s">
        <v>48</v>
      </c>
      <c r="B26" s="23">
        <v>1</v>
      </c>
      <c r="D26" s="38">
        <f t="shared" si="34"/>
        <v>21</v>
      </c>
      <c r="E26" s="41">
        <f t="shared" si="21"/>
        <v>43936</v>
      </c>
      <c r="F26" s="16"/>
      <c r="G26" s="17">
        <f t="shared" si="22"/>
        <v>0.60361317747077581</v>
      </c>
      <c r="H26" s="40">
        <f t="shared" si="0"/>
        <v>522.13271890435738</v>
      </c>
      <c r="I26" s="16">
        <f t="shared" si="23"/>
        <v>10351</v>
      </c>
      <c r="J26" s="16">
        <f>SUM(I$5:I26)</f>
        <v>938176</v>
      </c>
      <c r="K26" s="16"/>
      <c r="L26" s="18">
        <f t="shared" ca="1" si="24"/>
        <v>0.63260340632603407</v>
      </c>
      <c r="M26" s="40">
        <f t="shared" ca="1" si="1"/>
        <v>118.11313606718456</v>
      </c>
      <c r="N26" s="16">
        <f t="shared" ca="1" si="2"/>
        <v>2466</v>
      </c>
      <c r="O26" s="16">
        <f ca="1">SUM(N$5:N26)</f>
        <v>52389</v>
      </c>
      <c r="P26" s="16"/>
      <c r="Q26" s="19">
        <f t="shared" ca="1" si="25"/>
        <v>5.5841334674943718E-2</v>
      </c>
      <c r="R26" s="16"/>
      <c r="S26" s="16">
        <f t="shared" ca="1" si="3"/>
        <v>17024</v>
      </c>
      <c r="T26" s="19">
        <f t="shared" ca="1" si="26"/>
        <v>0.14485432330827067</v>
      </c>
      <c r="U26" s="35"/>
      <c r="V26" s="30">
        <f t="shared" si="4"/>
        <v>0.7</v>
      </c>
      <c r="W26" s="16">
        <f t="shared" si="5"/>
        <v>9061824</v>
      </c>
      <c r="X26" s="16"/>
      <c r="Y26" s="16">
        <f t="shared" si="6"/>
        <v>1035</v>
      </c>
      <c r="Z26" s="16">
        <f t="shared" si="7"/>
        <v>6211</v>
      </c>
      <c r="AA26" s="16">
        <f t="shared" si="8"/>
        <v>3105</v>
      </c>
      <c r="AB26" s="16"/>
      <c r="AC26" s="16">
        <f t="shared" si="9"/>
        <v>11025</v>
      </c>
      <c r="AD26" s="16">
        <f t="shared" si="10"/>
        <v>255952</v>
      </c>
      <c r="AE26" s="16">
        <f t="shared" si="11"/>
        <v>9733023</v>
      </c>
      <c r="AF26" s="16"/>
      <c r="AG26" s="16">
        <f>ROUND(AC26*Desire_severe*(1-SUM($BA$5:$BC25)/Population),0)</f>
        <v>10729</v>
      </c>
      <c r="AH26" s="16">
        <f>ROUND(AD26*Desire_mild*(1-SUM($BA$5:$BC25)/Population),0)</f>
        <v>124537</v>
      </c>
      <c r="AI26" s="16">
        <f>ROUND(AE26*Desire_asy*(1-SUM($BA$5:$BC25)/Population),0)</f>
        <v>189430</v>
      </c>
      <c r="AJ26" s="16"/>
      <c r="AK26" s="16">
        <f t="shared" si="35"/>
        <v>18061</v>
      </c>
      <c r="AL26" s="16">
        <f t="shared" si="13"/>
        <v>18061</v>
      </c>
      <c r="AM26" s="16">
        <f t="shared" si="27"/>
        <v>0</v>
      </c>
      <c r="AN26" s="16"/>
      <c r="AO26" s="16">
        <f t="shared" si="36"/>
        <v>10729</v>
      </c>
      <c r="AP26" s="16">
        <f t="shared" si="37"/>
        <v>7332</v>
      </c>
      <c r="AQ26" s="16">
        <f t="shared" si="28"/>
        <v>0</v>
      </c>
      <c r="AR26" s="16"/>
      <c r="AS26" s="16">
        <f t="shared" si="38"/>
        <v>0</v>
      </c>
      <c r="AT26" s="16">
        <f t="shared" si="38"/>
        <v>117205</v>
      </c>
      <c r="AU26" s="16">
        <f t="shared" si="38"/>
        <v>189430</v>
      </c>
      <c r="AV26" s="16"/>
      <c r="AW26" s="16">
        <f t="shared" si="29"/>
        <v>0</v>
      </c>
      <c r="AX26" s="16">
        <f t="shared" si="15"/>
        <v>0</v>
      </c>
      <c r="AY26" s="16">
        <f t="shared" si="30"/>
        <v>0</v>
      </c>
      <c r="AZ26" s="16"/>
      <c r="BA26" s="16">
        <f t="shared" si="31"/>
        <v>10729</v>
      </c>
      <c r="BB26" s="16">
        <f t="shared" si="31"/>
        <v>7332</v>
      </c>
      <c r="BC26" s="16">
        <f t="shared" si="31"/>
        <v>0</v>
      </c>
      <c r="BD26" s="16"/>
      <c r="BE26" s="20">
        <f t="shared" si="32"/>
        <v>9.3877551020408165E-2</v>
      </c>
      <c r="BF26" s="20">
        <f t="shared" si="32"/>
        <v>2.4266268675376634E-2</v>
      </c>
      <c r="BG26" s="20">
        <f t="shared" si="32"/>
        <v>3.1901702071391387E-4</v>
      </c>
      <c r="BH26" s="16"/>
      <c r="BI26" s="16">
        <f t="shared" si="18"/>
        <v>825</v>
      </c>
      <c r="BJ26" s="16">
        <f t="shared" si="19"/>
        <v>156</v>
      </c>
      <c r="BK26" s="16">
        <f t="shared" si="20"/>
        <v>0</v>
      </c>
      <c r="BL26" s="16"/>
      <c r="BM26" s="16">
        <f t="shared" si="33"/>
        <v>981</v>
      </c>
      <c r="BN26" s="22">
        <f t="shared" si="39"/>
        <v>0.62884615384615383</v>
      </c>
      <c r="BO26" s="19">
        <f t="shared" si="40"/>
        <v>5.4315929350534302E-2</v>
      </c>
    </row>
    <row r="27" spans="1:67" s="9" customFormat="1" ht="13" customHeight="1" x14ac:dyDescent="0.15">
      <c r="A27" s="15" t="s">
        <v>49</v>
      </c>
      <c r="B27" s="23">
        <v>0.5</v>
      </c>
      <c r="D27" s="38">
        <f t="shared" si="34"/>
        <v>22</v>
      </c>
      <c r="E27" s="41">
        <f t="shared" si="21"/>
        <v>43941</v>
      </c>
      <c r="F27" s="16"/>
      <c r="G27" s="17">
        <f t="shared" si="22"/>
        <v>0.60307298335467352</v>
      </c>
      <c r="H27" s="40">
        <f t="shared" si="0"/>
        <v>870.39524351230739</v>
      </c>
      <c r="I27" s="16">
        <f t="shared" si="23"/>
        <v>6248</v>
      </c>
      <c r="J27" s="16">
        <f>SUM(I$5:I27)</f>
        <v>944424</v>
      </c>
      <c r="K27" s="16"/>
      <c r="L27" s="18">
        <f t="shared" ca="1" si="24"/>
        <v>0.62884615384615383</v>
      </c>
      <c r="M27" s="40">
        <f t="shared" ca="1" si="1"/>
        <v>192.32194095003663</v>
      </c>
      <c r="N27" s="16">
        <f t="shared" ca="1" si="2"/>
        <v>1560</v>
      </c>
      <c r="O27" s="16">
        <f ca="1">SUM(N$5:N27)</f>
        <v>53949</v>
      </c>
      <c r="P27" s="16"/>
      <c r="Q27" s="19">
        <f t="shared" ca="1" si="25"/>
        <v>5.7123707148484158E-2</v>
      </c>
      <c r="R27" s="16"/>
      <c r="S27" s="16">
        <f t="shared" ca="1" si="3"/>
        <v>17535</v>
      </c>
      <c r="T27" s="19">
        <f t="shared" ca="1" si="26"/>
        <v>8.8964927288280579E-2</v>
      </c>
      <c r="U27" s="35"/>
      <c r="V27" s="30">
        <f t="shared" si="4"/>
        <v>0.7</v>
      </c>
      <c r="W27" s="16">
        <f t="shared" si="5"/>
        <v>9055576</v>
      </c>
      <c r="X27" s="16"/>
      <c r="Y27" s="16">
        <f t="shared" si="6"/>
        <v>625</v>
      </c>
      <c r="Z27" s="16">
        <f t="shared" si="7"/>
        <v>3749</v>
      </c>
      <c r="AA27" s="16">
        <f t="shared" si="8"/>
        <v>1874</v>
      </c>
      <c r="AB27" s="16"/>
      <c r="AC27" s="16">
        <f t="shared" si="9"/>
        <v>10619</v>
      </c>
      <c r="AD27" s="16">
        <f t="shared" si="10"/>
        <v>253593</v>
      </c>
      <c r="AE27" s="16">
        <f t="shared" si="11"/>
        <v>9735788</v>
      </c>
      <c r="AF27" s="16"/>
      <c r="AG27" s="16">
        <f>ROUND(AC27*Desire_severe*(1-SUM($BA$5:$BC26)/Population),0)</f>
        <v>10314</v>
      </c>
      <c r="AH27" s="16">
        <f>ROUND(AD27*Desire_mild*(1-SUM($BA$5:$BC26)/Population),0)</f>
        <v>123160</v>
      </c>
      <c r="AI27" s="16">
        <f>ROUND(AE27*Desire_asy*(1-SUM($BA$5:$BC26)/Population),0)</f>
        <v>189132</v>
      </c>
      <c r="AJ27" s="16"/>
      <c r="AK27" s="16">
        <f t="shared" si="35"/>
        <v>18603</v>
      </c>
      <c r="AL27" s="16">
        <f t="shared" si="13"/>
        <v>18603</v>
      </c>
      <c r="AM27" s="16">
        <f t="shared" si="27"/>
        <v>0</v>
      </c>
      <c r="AN27" s="16"/>
      <c r="AO27" s="16">
        <f t="shared" si="36"/>
        <v>10314</v>
      </c>
      <c r="AP27" s="16">
        <f t="shared" si="37"/>
        <v>8289</v>
      </c>
      <c r="AQ27" s="16">
        <f t="shared" si="28"/>
        <v>0</v>
      </c>
      <c r="AR27" s="16"/>
      <c r="AS27" s="16">
        <f t="shared" si="38"/>
        <v>0</v>
      </c>
      <c r="AT27" s="16">
        <f t="shared" si="38"/>
        <v>114871</v>
      </c>
      <c r="AU27" s="16">
        <f t="shared" si="38"/>
        <v>189132</v>
      </c>
      <c r="AV27" s="16"/>
      <c r="AW27" s="16">
        <f t="shared" si="29"/>
        <v>0</v>
      </c>
      <c r="AX27" s="16">
        <f t="shared" si="15"/>
        <v>0</v>
      </c>
      <c r="AY27" s="16">
        <f t="shared" si="30"/>
        <v>0</v>
      </c>
      <c r="AZ27" s="16"/>
      <c r="BA27" s="16">
        <f t="shared" si="31"/>
        <v>10314</v>
      </c>
      <c r="BB27" s="16">
        <f t="shared" si="31"/>
        <v>8289</v>
      </c>
      <c r="BC27" s="16">
        <f t="shared" si="31"/>
        <v>0</v>
      </c>
      <c r="BD27" s="16"/>
      <c r="BE27" s="20">
        <f t="shared" si="32"/>
        <v>5.8856766173839344E-2</v>
      </c>
      <c r="BF27" s="20">
        <f t="shared" si="32"/>
        <v>1.4783531091157879E-2</v>
      </c>
      <c r="BG27" s="20">
        <f t="shared" si="32"/>
        <v>1.924857032630538E-4</v>
      </c>
      <c r="BH27" s="16"/>
      <c r="BI27" s="16">
        <f t="shared" si="18"/>
        <v>505</v>
      </c>
      <c r="BJ27" s="16">
        <f t="shared" si="19"/>
        <v>114</v>
      </c>
      <c r="BK27" s="16">
        <f t="shared" si="20"/>
        <v>0</v>
      </c>
      <c r="BL27" s="16"/>
      <c r="BM27" s="16">
        <f t="shared" si="33"/>
        <v>619</v>
      </c>
      <c r="BN27" s="22">
        <f t="shared" si="39"/>
        <v>0.63098878695208971</v>
      </c>
      <c r="BO27" s="19">
        <f t="shared" si="40"/>
        <v>3.327420308552384E-2</v>
      </c>
    </row>
    <row r="28" spans="1:67" s="9" customFormat="1" ht="13" customHeight="1" x14ac:dyDescent="0.15">
      <c r="A28" s="15" t="s">
        <v>50</v>
      </c>
      <c r="B28" s="23">
        <v>0.02</v>
      </c>
      <c r="D28" s="38">
        <f t="shared" si="34"/>
        <v>23</v>
      </c>
      <c r="E28" s="41">
        <f t="shared" si="21"/>
        <v>43946</v>
      </c>
      <c r="F28" s="16"/>
      <c r="G28" s="17">
        <f t="shared" si="22"/>
        <v>0.60270700636942676</v>
      </c>
      <c r="H28" s="40">
        <f t="shared" si="0"/>
        <v>1448.7524576091473</v>
      </c>
      <c r="I28" s="16">
        <f t="shared" si="23"/>
        <v>3768</v>
      </c>
      <c r="J28" s="16">
        <f>SUM(I$5:I28)</f>
        <v>948192</v>
      </c>
      <c r="K28" s="16"/>
      <c r="L28" s="18">
        <f t="shared" ca="1" si="24"/>
        <v>0.63098878695208971</v>
      </c>
      <c r="M28" s="40">
        <f t="shared" ca="1" si="1"/>
        <v>309.27869965576224</v>
      </c>
      <c r="N28" s="16">
        <f t="shared" ca="1" si="2"/>
        <v>981</v>
      </c>
      <c r="O28" s="16">
        <f ca="1">SUM(N$5:N28)</f>
        <v>54930</v>
      </c>
      <c r="P28" s="16"/>
      <c r="Q28" s="19">
        <f t="shared" ca="1" si="25"/>
        <v>5.7931305052141335E-2</v>
      </c>
      <c r="R28" s="16"/>
      <c r="S28" s="16">
        <f t="shared" ca="1" si="3"/>
        <v>18061</v>
      </c>
      <c r="T28" s="19">
        <f t="shared" ca="1" si="26"/>
        <v>5.4315929350534302E-2</v>
      </c>
      <c r="U28" s="35"/>
      <c r="V28" s="30">
        <f t="shared" si="4"/>
        <v>0.7</v>
      </c>
      <c r="W28" s="16">
        <f t="shared" si="5"/>
        <v>9051808</v>
      </c>
      <c r="X28" s="16"/>
      <c r="Y28" s="16">
        <f t="shared" si="6"/>
        <v>377</v>
      </c>
      <c r="Z28" s="16">
        <f t="shared" si="7"/>
        <v>2261</v>
      </c>
      <c r="AA28" s="16">
        <f t="shared" si="8"/>
        <v>1130</v>
      </c>
      <c r="AB28" s="16"/>
      <c r="AC28" s="16">
        <f t="shared" si="9"/>
        <v>10373</v>
      </c>
      <c r="AD28" s="16">
        <f t="shared" si="10"/>
        <v>252167</v>
      </c>
      <c r="AE28" s="16">
        <f t="shared" si="11"/>
        <v>9737460</v>
      </c>
      <c r="AF28" s="16"/>
      <c r="AG28" s="16">
        <f>ROUND(AC28*Desire_severe*(1-SUM($BA$5:$BC27)/Population),0)</f>
        <v>10056</v>
      </c>
      <c r="AH28" s="16">
        <f>ROUND(AD28*Desire_mild*(1-SUM($BA$5:$BC27)/Population),0)</f>
        <v>122233</v>
      </c>
      <c r="AI28" s="16">
        <f>ROUND(AE28*Desire_asy*(1-SUM($BA$5:$BC27)/Population),0)</f>
        <v>188802</v>
      </c>
      <c r="AJ28" s="16"/>
      <c r="AK28" s="16">
        <f t="shared" si="35"/>
        <v>19161</v>
      </c>
      <c r="AL28" s="16">
        <f t="shared" si="13"/>
        <v>19161</v>
      </c>
      <c r="AM28" s="16">
        <f t="shared" si="27"/>
        <v>0</v>
      </c>
      <c r="AN28" s="16"/>
      <c r="AO28" s="16">
        <f t="shared" si="36"/>
        <v>10056</v>
      </c>
      <c r="AP28" s="16">
        <f t="shared" si="37"/>
        <v>9105</v>
      </c>
      <c r="AQ28" s="16">
        <f t="shared" si="28"/>
        <v>0</v>
      </c>
      <c r="AR28" s="16"/>
      <c r="AS28" s="16">
        <f t="shared" si="38"/>
        <v>0</v>
      </c>
      <c r="AT28" s="16">
        <f t="shared" si="38"/>
        <v>113128</v>
      </c>
      <c r="AU28" s="16">
        <f t="shared" si="38"/>
        <v>188802</v>
      </c>
      <c r="AV28" s="16"/>
      <c r="AW28" s="16">
        <f t="shared" si="29"/>
        <v>0</v>
      </c>
      <c r="AX28" s="16">
        <f t="shared" si="15"/>
        <v>0</v>
      </c>
      <c r="AY28" s="16">
        <f t="shared" si="30"/>
        <v>0</v>
      </c>
      <c r="AZ28" s="16"/>
      <c r="BA28" s="16">
        <f t="shared" si="31"/>
        <v>10056</v>
      </c>
      <c r="BB28" s="16">
        <f t="shared" si="31"/>
        <v>9105</v>
      </c>
      <c r="BC28" s="16">
        <f t="shared" si="31"/>
        <v>0</v>
      </c>
      <c r="BD28" s="16"/>
      <c r="BE28" s="20">
        <f t="shared" si="32"/>
        <v>3.6344355538417042E-2</v>
      </c>
      <c r="BF28" s="20">
        <f t="shared" si="32"/>
        <v>8.9662802825111933E-3</v>
      </c>
      <c r="BG28" s="20">
        <f t="shared" si="32"/>
        <v>1.1604668979384767E-4</v>
      </c>
      <c r="BH28" s="16"/>
      <c r="BI28" s="16">
        <f t="shared" si="18"/>
        <v>311</v>
      </c>
      <c r="BJ28" s="16">
        <f t="shared" si="19"/>
        <v>83</v>
      </c>
      <c r="BK28" s="16">
        <f t="shared" si="20"/>
        <v>0</v>
      </c>
      <c r="BL28" s="16"/>
      <c r="BM28" s="16">
        <f t="shared" si="33"/>
        <v>394</v>
      </c>
      <c r="BN28" s="22">
        <f t="shared" si="39"/>
        <v>0.6365105008077544</v>
      </c>
      <c r="BO28" s="19">
        <f t="shared" si="40"/>
        <v>2.0562601116851938E-2</v>
      </c>
    </row>
    <row r="29" spans="1:67" s="9" customFormat="1" ht="13" customHeight="1" x14ac:dyDescent="0.15">
      <c r="B29" s="8"/>
      <c r="D29" s="38">
        <f t="shared" si="34"/>
        <v>24</v>
      </c>
      <c r="E29" s="41">
        <f t="shared" si="21"/>
        <v>43951</v>
      </c>
      <c r="F29" s="16"/>
      <c r="G29" s="17">
        <f t="shared" si="22"/>
        <v>0.60237780713342137</v>
      </c>
      <c r="H29" s="40">
        <f t="shared" si="0"/>
        <v>2409.6664755050983</v>
      </c>
      <c r="I29" s="16">
        <f t="shared" si="23"/>
        <v>2271</v>
      </c>
      <c r="J29" s="16">
        <f>SUM(I$5:I29)</f>
        <v>950463</v>
      </c>
      <c r="K29" s="16"/>
      <c r="L29" s="18">
        <f t="shared" ca="1" si="24"/>
        <v>0.6365105008077544</v>
      </c>
      <c r="M29" s="40">
        <f t="shared" ca="1" si="1"/>
        <v>490.35560756676909</v>
      </c>
      <c r="N29" s="16">
        <f t="shared" ca="1" si="2"/>
        <v>619</v>
      </c>
      <c r="O29" s="16">
        <f ca="1">SUM(N$5:N29)</f>
        <v>55549</v>
      </c>
      <c r="P29" s="16"/>
      <c r="Q29" s="19">
        <f t="shared" ca="1" si="25"/>
        <v>5.8444147746940178E-2</v>
      </c>
      <c r="R29" s="16"/>
      <c r="S29" s="16">
        <f t="shared" ca="1" si="3"/>
        <v>18603</v>
      </c>
      <c r="T29" s="19">
        <f t="shared" ca="1" si="26"/>
        <v>3.327420308552384E-2</v>
      </c>
      <c r="U29" s="35"/>
      <c r="V29" s="30">
        <f t="shared" si="4"/>
        <v>0.7</v>
      </c>
      <c r="W29" s="16">
        <f t="shared" si="5"/>
        <v>9049537</v>
      </c>
      <c r="X29" s="16"/>
      <c r="Y29" s="16">
        <f t="shared" si="6"/>
        <v>227</v>
      </c>
      <c r="Z29" s="16">
        <f t="shared" si="7"/>
        <v>1363</v>
      </c>
      <c r="AA29" s="16">
        <f t="shared" si="8"/>
        <v>681</v>
      </c>
      <c r="AB29" s="16"/>
      <c r="AC29" s="16">
        <f t="shared" si="9"/>
        <v>10225</v>
      </c>
      <c r="AD29" s="16">
        <f t="shared" si="10"/>
        <v>251306</v>
      </c>
      <c r="AE29" s="16">
        <f t="shared" si="11"/>
        <v>9738469</v>
      </c>
      <c r="AF29" s="16"/>
      <c r="AG29" s="16">
        <f>ROUND(AC29*Desire_severe*(1-SUM($BA$5:$BC28)/Population),0)</f>
        <v>9893</v>
      </c>
      <c r="AH29" s="16">
        <f>ROUND(AD29*Desire_mild*(1-SUM($BA$5:$BC28)/Population),0)</f>
        <v>121575</v>
      </c>
      <c r="AI29" s="16">
        <f>ROUND(AE29*Desire_asy*(1-SUM($BA$5:$BC28)/Population),0)</f>
        <v>188449</v>
      </c>
      <c r="AJ29" s="16"/>
      <c r="AK29" s="16">
        <f t="shared" si="35"/>
        <v>19736</v>
      </c>
      <c r="AL29" s="16">
        <f t="shared" si="13"/>
        <v>19736</v>
      </c>
      <c r="AM29" s="16">
        <f t="shared" si="27"/>
        <v>0</v>
      </c>
      <c r="AN29" s="16"/>
      <c r="AO29" s="16">
        <f t="shared" si="36"/>
        <v>9893</v>
      </c>
      <c r="AP29" s="16">
        <f t="shared" si="37"/>
        <v>9843</v>
      </c>
      <c r="AQ29" s="16">
        <f t="shared" si="28"/>
        <v>0</v>
      </c>
      <c r="AR29" s="16"/>
      <c r="AS29" s="16">
        <f t="shared" si="38"/>
        <v>0</v>
      </c>
      <c r="AT29" s="16">
        <f t="shared" si="38"/>
        <v>111732</v>
      </c>
      <c r="AU29" s="16">
        <f t="shared" si="38"/>
        <v>188449</v>
      </c>
      <c r="AV29" s="16"/>
      <c r="AW29" s="16">
        <f t="shared" si="29"/>
        <v>0</v>
      </c>
      <c r="AX29" s="16">
        <f t="shared" si="15"/>
        <v>0</v>
      </c>
      <c r="AY29" s="16">
        <f t="shared" si="30"/>
        <v>0</v>
      </c>
      <c r="AZ29" s="16"/>
      <c r="BA29" s="16">
        <f t="shared" si="31"/>
        <v>9893</v>
      </c>
      <c r="BB29" s="16">
        <f t="shared" si="31"/>
        <v>9843</v>
      </c>
      <c r="BC29" s="16">
        <f t="shared" si="31"/>
        <v>0</v>
      </c>
      <c r="BD29" s="16"/>
      <c r="BE29" s="20">
        <f t="shared" si="32"/>
        <v>2.2200488997555012E-2</v>
      </c>
      <c r="BF29" s="20">
        <f t="shared" si="32"/>
        <v>5.4236667648205773E-3</v>
      </c>
      <c r="BG29" s="20">
        <f t="shared" si="32"/>
        <v>6.9928856373625047E-5</v>
      </c>
      <c r="BH29" s="16"/>
      <c r="BI29" s="16">
        <f t="shared" si="18"/>
        <v>195</v>
      </c>
      <c r="BJ29" s="16">
        <f t="shared" si="19"/>
        <v>63</v>
      </c>
      <c r="BK29" s="16">
        <f t="shared" si="20"/>
        <v>0</v>
      </c>
      <c r="BL29" s="16"/>
      <c r="BM29" s="16">
        <f t="shared" si="33"/>
        <v>258</v>
      </c>
      <c r="BN29" s="22">
        <f t="shared" si="39"/>
        <v>0.65482233502538068</v>
      </c>
      <c r="BO29" s="19">
        <f t="shared" si="40"/>
        <v>1.3072557762464531E-2</v>
      </c>
    </row>
    <row r="30" spans="1:67" s="9" customFormat="1" ht="13" customHeight="1" x14ac:dyDescent="0.15">
      <c r="A30" s="7" t="s">
        <v>3</v>
      </c>
      <c r="B30" s="8"/>
      <c r="D30" s="38">
        <f t="shared" si="34"/>
        <v>25</v>
      </c>
      <c r="E30" s="41">
        <f t="shared" si="21"/>
        <v>43956</v>
      </c>
      <c r="F30" s="16"/>
      <c r="G30" s="17">
        <f t="shared" si="22"/>
        <v>0.60233918128654973</v>
      </c>
      <c r="H30" s="40">
        <f t="shared" si="0"/>
        <v>4005.1244506790063</v>
      </c>
      <c r="I30" s="16">
        <f t="shared" si="23"/>
        <v>1368</v>
      </c>
      <c r="J30" s="16">
        <f>SUM(I$5:I30)</f>
        <v>951831</v>
      </c>
      <c r="K30" s="16"/>
      <c r="L30" s="18">
        <f t="shared" ca="1" si="24"/>
        <v>0.65482233502538068</v>
      </c>
      <c r="M30" s="40">
        <f t="shared" ca="1" si="1"/>
        <v>753.21860732013522</v>
      </c>
      <c r="N30" s="16">
        <f t="shared" ca="1" si="2"/>
        <v>394</v>
      </c>
      <c r="O30" s="16">
        <f ca="1">SUM(N$5:N30)</f>
        <v>55943</v>
      </c>
      <c r="P30" s="16"/>
      <c r="Q30" s="19">
        <f t="shared" ca="1" si="25"/>
        <v>5.8774089097749498E-2</v>
      </c>
      <c r="R30" s="16"/>
      <c r="S30" s="16">
        <f t="shared" ca="1" si="3"/>
        <v>19161</v>
      </c>
      <c r="T30" s="19">
        <f t="shared" ca="1" si="26"/>
        <v>2.0562601116851938E-2</v>
      </c>
      <c r="U30" s="35"/>
      <c r="V30" s="30">
        <f t="shared" si="4"/>
        <v>0.7</v>
      </c>
      <c r="W30" s="16">
        <f t="shared" si="5"/>
        <v>9048169</v>
      </c>
      <c r="X30" s="16"/>
      <c r="Y30" s="16">
        <f t="shared" si="6"/>
        <v>137</v>
      </c>
      <c r="Z30" s="16">
        <f t="shared" si="7"/>
        <v>821</v>
      </c>
      <c r="AA30" s="16">
        <f t="shared" si="8"/>
        <v>410</v>
      </c>
      <c r="AB30" s="16"/>
      <c r="AC30" s="16">
        <f t="shared" si="9"/>
        <v>10136</v>
      </c>
      <c r="AD30" s="16">
        <f t="shared" si="10"/>
        <v>250787</v>
      </c>
      <c r="AE30" s="16">
        <f t="shared" si="11"/>
        <v>9739077</v>
      </c>
      <c r="AF30" s="16"/>
      <c r="AG30" s="16">
        <f>ROUND(AC30*Desire_severe*(1-SUM($BA$5:$BC29)/Population),0)</f>
        <v>9787</v>
      </c>
      <c r="AH30" s="16">
        <f>ROUND(AD30*Desire_mild*(1-SUM($BA$5:$BC29)/Population),0)</f>
        <v>121077</v>
      </c>
      <c r="AI30" s="16">
        <f>ROUND(AE30*Desire_asy*(1-SUM($BA$5:$BC29)/Population),0)</f>
        <v>188076</v>
      </c>
      <c r="AJ30" s="16"/>
      <c r="AK30" s="16">
        <f t="shared" si="35"/>
        <v>20000</v>
      </c>
      <c r="AL30" s="16">
        <f t="shared" si="13"/>
        <v>20000</v>
      </c>
      <c r="AM30" s="16">
        <f t="shared" si="27"/>
        <v>0</v>
      </c>
      <c r="AN30" s="16"/>
      <c r="AO30" s="16">
        <f t="shared" si="36"/>
        <v>9787</v>
      </c>
      <c r="AP30" s="16">
        <f t="shared" si="37"/>
        <v>10213</v>
      </c>
      <c r="AQ30" s="16">
        <f t="shared" si="28"/>
        <v>0</v>
      </c>
      <c r="AR30" s="16"/>
      <c r="AS30" s="16">
        <f t="shared" si="38"/>
        <v>0</v>
      </c>
      <c r="AT30" s="16">
        <f t="shared" si="38"/>
        <v>110864</v>
      </c>
      <c r="AU30" s="16">
        <f t="shared" si="38"/>
        <v>188076</v>
      </c>
      <c r="AV30" s="16"/>
      <c r="AW30" s="16">
        <f t="shared" si="29"/>
        <v>0</v>
      </c>
      <c r="AX30" s="16">
        <f t="shared" si="15"/>
        <v>0</v>
      </c>
      <c r="AY30" s="16">
        <f t="shared" si="30"/>
        <v>0</v>
      </c>
      <c r="AZ30" s="16"/>
      <c r="BA30" s="16">
        <f t="shared" si="31"/>
        <v>9787</v>
      </c>
      <c r="BB30" s="16">
        <f t="shared" si="31"/>
        <v>10213</v>
      </c>
      <c r="BC30" s="16">
        <f t="shared" si="31"/>
        <v>0</v>
      </c>
      <c r="BD30" s="16"/>
      <c r="BE30" s="20">
        <f t="shared" si="32"/>
        <v>1.3516179952644041E-2</v>
      </c>
      <c r="BF30" s="20">
        <f t="shared" si="32"/>
        <v>3.2736944099973284E-3</v>
      </c>
      <c r="BG30" s="20">
        <f t="shared" si="32"/>
        <v>4.2098445263344772E-5</v>
      </c>
      <c r="BH30" s="16"/>
      <c r="BI30" s="16">
        <f t="shared" si="18"/>
        <v>125</v>
      </c>
      <c r="BJ30" s="16">
        <f t="shared" si="19"/>
        <v>47</v>
      </c>
      <c r="BK30" s="16">
        <f t="shared" si="20"/>
        <v>0</v>
      </c>
      <c r="BL30" s="16"/>
      <c r="BM30" s="16">
        <f t="shared" si="33"/>
        <v>172</v>
      </c>
      <c r="BN30" s="22">
        <f t="shared" si="39"/>
        <v>0.66666666666666663</v>
      </c>
      <c r="BO30" s="19">
        <f t="shared" si="40"/>
        <v>8.6E-3</v>
      </c>
    </row>
    <row r="31" spans="1:67" s="9" customFormat="1" ht="13" customHeight="1" x14ac:dyDescent="0.15">
      <c r="A31" s="15" t="s">
        <v>51</v>
      </c>
      <c r="B31" s="25">
        <v>10000</v>
      </c>
      <c r="D31" s="38">
        <f t="shared" si="34"/>
        <v>26</v>
      </c>
      <c r="E31" s="41">
        <f t="shared" si="21"/>
        <v>43961</v>
      </c>
      <c r="F31" s="16"/>
      <c r="G31" s="17">
        <f t="shared" si="22"/>
        <v>0.60194174757281549</v>
      </c>
      <c r="H31" s="40">
        <f t="shared" si="0"/>
        <v>6658.2864202056226</v>
      </c>
      <c r="I31" s="16">
        <f t="shared" si="23"/>
        <v>824</v>
      </c>
      <c r="J31" s="16">
        <f>SUM(I$5:I31)</f>
        <v>952655</v>
      </c>
      <c r="K31" s="16"/>
      <c r="L31" s="18">
        <f t="shared" ca="1" si="24"/>
        <v>0.66666666666666663</v>
      </c>
      <c r="M31" s="40">
        <f t="shared" ca="1" si="1"/>
        <v>1134.1611916503439</v>
      </c>
      <c r="N31" s="16">
        <f t="shared" ca="1" si="2"/>
        <v>258</v>
      </c>
      <c r="O31" s="16">
        <f ca="1">SUM(N$5:N31)</f>
        <v>56201</v>
      </c>
      <c r="P31" s="16"/>
      <c r="Q31" s="19">
        <f t="shared" ca="1" si="25"/>
        <v>5.8994074455075554E-2</v>
      </c>
      <c r="R31" s="16"/>
      <c r="S31" s="16">
        <f t="shared" ca="1" si="3"/>
        <v>19736</v>
      </c>
      <c r="T31" s="19">
        <f t="shared" ca="1" si="26"/>
        <v>1.3072557762464531E-2</v>
      </c>
      <c r="U31" s="35"/>
      <c r="V31" s="30">
        <f t="shared" si="4"/>
        <v>0.7</v>
      </c>
      <c r="W31" s="16">
        <f t="shared" si="5"/>
        <v>9047345</v>
      </c>
      <c r="X31" s="16"/>
      <c r="Y31" s="16">
        <f t="shared" si="6"/>
        <v>82</v>
      </c>
      <c r="Z31" s="16">
        <f t="shared" si="7"/>
        <v>494</v>
      </c>
      <c r="AA31" s="16">
        <f t="shared" si="8"/>
        <v>248</v>
      </c>
      <c r="AB31" s="16"/>
      <c r="AC31" s="16">
        <f t="shared" si="9"/>
        <v>10081</v>
      </c>
      <c r="AD31" s="16">
        <f t="shared" si="10"/>
        <v>250473</v>
      </c>
      <c r="AE31" s="16">
        <f t="shared" si="11"/>
        <v>9739446</v>
      </c>
      <c r="AF31" s="16"/>
      <c r="AG31" s="16">
        <f>ROUND(AC31*Desire_severe*(1-SUM($BA$5:$BC30)/Population),0)</f>
        <v>9714</v>
      </c>
      <c r="AH31" s="16">
        <f>ROUND(AD31*Desire_mild*(1-SUM($BA$5:$BC30)/Population),0)</f>
        <v>120675</v>
      </c>
      <c r="AI31" s="16">
        <f>ROUND(AE31*Desire_asy*(1-SUM($BA$5:$BC30)/Population),0)</f>
        <v>187693</v>
      </c>
      <c r="AJ31" s="16"/>
      <c r="AK31" s="16">
        <f t="shared" si="35"/>
        <v>20000</v>
      </c>
      <c r="AL31" s="16">
        <f t="shared" si="13"/>
        <v>20000</v>
      </c>
      <c r="AM31" s="16">
        <f t="shared" si="27"/>
        <v>0</v>
      </c>
      <c r="AN31" s="16"/>
      <c r="AO31" s="16">
        <f t="shared" si="36"/>
        <v>9714</v>
      </c>
      <c r="AP31" s="16">
        <f t="shared" si="37"/>
        <v>10286</v>
      </c>
      <c r="AQ31" s="16">
        <f t="shared" si="28"/>
        <v>0</v>
      </c>
      <c r="AR31" s="16"/>
      <c r="AS31" s="16">
        <f t="shared" si="38"/>
        <v>0</v>
      </c>
      <c r="AT31" s="16">
        <f t="shared" si="38"/>
        <v>110389</v>
      </c>
      <c r="AU31" s="16">
        <f t="shared" si="38"/>
        <v>187693</v>
      </c>
      <c r="AV31" s="16"/>
      <c r="AW31" s="16">
        <f t="shared" si="29"/>
        <v>0</v>
      </c>
      <c r="AX31" s="16">
        <f t="shared" si="15"/>
        <v>0</v>
      </c>
      <c r="AY31" s="16">
        <f t="shared" si="30"/>
        <v>0</v>
      </c>
      <c r="AZ31" s="16"/>
      <c r="BA31" s="16">
        <f t="shared" si="31"/>
        <v>9714</v>
      </c>
      <c r="BB31" s="16">
        <f t="shared" si="31"/>
        <v>10286</v>
      </c>
      <c r="BC31" s="16">
        <f t="shared" si="31"/>
        <v>0</v>
      </c>
      <c r="BD31" s="16"/>
      <c r="BE31" s="20">
        <f t="shared" si="32"/>
        <v>8.1341136791984927E-3</v>
      </c>
      <c r="BF31" s="20">
        <f t="shared" si="32"/>
        <v>1.9722684680584333E-3</v>
      </c>
      <c r="BG31" s="20">
        <f t="shared" si="32"/>
        <v>2.5463460652690103E-5</v>
      </c>
      <c r="BH31" s="16"/>
      <c r="BI31" s="16">
        <f t="shared" si="18"/>
        <v>82</v>
      </c>
      <c r="BJ31" s="16">
        <f t="shared" si="19"/>
        <v>37</v>
      </c>
      <c r="BK31" s="16">
        <f t="shared" si="20"/>
        <v>0</v>
      </c>
      <c r="BL31" s="16"/>
      <c r="BM31" s="16">
        <f t="shared" si="33"/>
        <v>119</v>
      </c>
      <c r="BN31" s="22">
        <f t="shared" si="39"/>
        <v>0.69186046511627908</v>
      </c>
      <c r="BO31" s="19">
        <f t="shared" si="40"/>
        <v>5.9500000000000004E-3</v>
      </c>
    </row>
    <row r="32" spans="1:67" s="9" customFormat="1" ht="13" customHeight="1" x14ac:dyDescent="0.15">
      <c r="A32" s="15" t="s">
        <v>57</v>
      </c>
      <c r="B32" s="8">
        <v>2</v>
      </c>
      <c r="D32" s="38">
        <f t="shared" si="34"/>
        <v>27</v>
      </c>
      <c r="E32" s="41">
        <f t="shared" si="21"/>
        <v>43966</v>
      </c>
      <c r="F32" s="16"/>
      <c r="G32" s="17">
        <f t="shared" si="22"/>
        <v>0.60282258064516125</v>
      </c>
      <c r="H32" s="40">
        <f t="shared" si="0"/>
        <v>11049.791779003532</v>
      </c>
      <c r="I32" s="16">
        <f t="shared" si="23"/>
        <v>496</v>
      </c>
      <c r="J32" s="16">
        <f>SUM(I$5:I32)</f>
        <v>953151</v>
      </c>
      <c r="K32" s="16"/>
      <c r="L32" s="18">
        <f t="shared" ca="1" si="24"/>
        <v>0.69186046511627908</v>
      </c>
      <c r="M32" s="40">
        <f t="shared" ca="1" si="1"/>
        <v>1643.5299904310034</v>
      </c>
      <c r="N32" s="16">
        <f t="shared" ca="1" si="2"/>
        <v>172</v>
      </c>
      <c r="O32" s="16">
        <f ca="1">SUM(N$5:N32)</f>
        <v>56373</v>
      </c>
      <c r="P32" s="16"/>
      <c r="Q32" s="19">
        <f t="shared" ca="1" si="25"/>
        <v>5.9143829256854373E-2</v>
      </c>
      <c r="R32" s="16"/>
      <c r="S32" s="16">
        <f t="shared" ca="1" si="3"/>
        <v>20000</v>
      </c>
      <c r="T32" s="19">
        <f t="shared" ca="1" si="26"/>
        <v>8.6E-3</v>
      </c>
      <c r="U32" s="35"/>
      <c r="V32" s="30">
        <f t="shared" si="4"/>
        <v>0.7</v>
      </c>
      <c r="W32" s="16">
        <f t="shared" si="5"/>
        <v>9046849</v>
      </c>
      <c r="X32" s="16"/>
      <c r="Y32" s="16">
        <f t="shared" si="6"/>
        <v>50</v>
      </c>
      <c r="Z32" s="16">
        <f t="shared" si="7"/>
        <v>298</v>
      </c>
      <c r="AA32" s="16">
        <f t="shared" si="8"/>
        <v>148</v>
      </c>
      <c r="AB32" s="16"/>
      <c r="AC32" s="16">
        <f t="shared" si="9"/>
        <v>10050</v>
      </c>
      <c r="AD32" s="16">
        <f t="shared" si="10"/>
        <v>250286</v>
      </c>
      <c r="AE32" s="16">
        <f t="shared" si="11"/>
        <v>9739664</v>
      </c>
      <c r="AF32" s="16"/>
      <c r="AG32" s="16">
        <f>ROUND(AC32*Desire_severe*(1-SUM($BA$5:$BC31)/Population),0)</f>
        <v>9664</v>
      </c>
      <c r="AH32" s="16">
        <f>ROUND(AD32*Desire_mild*(1-SUM($BA$5:$BC31)/Population),0)</f>
        <v>120334</v>
      </c>
      <c r="AI32" s="16">
        <f>ROUND(AE32*Desire_asy*(1-SUM($BA$5:$BC31)/Population),0)</f>
        <v>187308</v>
      </c>
      <c r="AJ32" s="16"/>
      <c r="AK32" s="16">
        <f t="shared" si="35"/>
        <v>20000</v>
      </c>
      <c r="AL32" s="16">
        <f t="shared" si="13"/>
        <v>20000</v>
      </c>
      <c r="AM32" s="16">
        <f t="shared" si="27"/>
        <v>0</v>
      </c>
      <c r="AN32" s="16"/>
      <c r="AO32" s="16">
        <f t="shared" si="36"/>
        <v>9664</v>
      </c>
      <c r="AP32" s="16">
        <f t="shared" si="37"/>
        <v>10336</v>
      </c>
      <c r="AQ32" s="16">
        <f t="shared" si="28"/>
        <v>0</v>
      </c>
      <c r="AR32" s="16"/>
      <c r="AS32" s="16">
        <f t="shared" si="38"/>
        <v>0</v>
      </c>
      <c r="AT32" s="16">
        <f t="shared" si="38"/>
        <v>109998</v>
      </c>
      <c r="AU32" s="16">
        <f t="shared" si="38"/>
        <v>187308</v>
      </c>
      <c r="AV32" s="16"/>
      <c r="AW32" s="16">
        <f t="shared" si="29"/>
        <v>0</v>
      </c>
      <c r="AX32" s="16">
        <f t="shared" si="15"/>
        <v>0</v>
      </c>
      <c r="AY32" s="16">
        <f t="shared" si="30"/>
        <v>0</v>
      </c>
      <c r="AZ32" s="16"/>
      <c r="BA32" s="16">
        <f t="shared" si="31"/>
        <v>9664</v>
      </c>
      <c r="BB32" s="16">
        <f t="shared" si="31"/>
        <v>10336</v>
      </c>
      <c r="BC32" s="16">
        <f t="shared" si="31"/>
        <v>0</v>
      </c>
      <c r="BD32" s="16"/>
      <c r="BE32" s="20">
        <f t="shared" si="32"/>
        <v>4.9751243781094526E-3</v>
      </c>
      <c r="BF32" s="20">
        <f t="shared" si="32"/>
        <v>1.1906379102306962E-3</v>
      </c>
      <c r="BG32" s="20">
        <f t="shared" si="32"/>
        <v>1.5195596069843889E-5</v>
      </c>
      <c r="BH32" s="16"/>
      <c r="BI32" s="16">
        <f t="shared" si="18"/>
        <v>57</v>
      </c>
      <c r="BJ32" s="16">
        <f t="shared" si="19"/>
        <v>31</v>
      </c>
      <c r="BK32" s="16">
        <f t="shared" si="20"/>
        <v>0</v>
      </c>
      <c r="BL32" s="16"/>
      <c r="BM32" s="16">
        <f t="shared" si="33"/>
        <v>88</v>
      </c>
      <c r="BN32" s="22">
        <f t="shared" si="39"/>
        <v>0.73949579831932777</v>
      </c>
      <c r="BO32" s="19">
        <f t="shared" si="40"/>
        <v>4.4000000000000003E-3</v>
      </c>
    </row>
    <row r="33" spans="1:67" s="9" customFormat="1" ht="13" customHeight="1" x14ac:dyDescent="0.15">
      <c r="A33" s="15" t="s">
        <v>52</v>
      </c>
      <c r="B33" s="23">
        <v>0.03</v>
      </c>
      <c r="D33" s="38">
        <f t="shared" si="34"/>
        <v>28</v>
      </c>
      <c r="E33" s="41">
        <f t="shared" si="21"/>
        <v>43971</v>
      </c>
      <c r="F33" s="16"/>
      <c r="G33" s="17">
        <f t="shared" si="22"/>
        <v>0.60200668896321075</v>
      </c>
      <c r="H33" s="40">
        <f t="shared" si="0"/>
        <v>18359.543349681015</v>
      </c>
      <c r="I33" s="16">
        <f t="shared" si="23"/>
        <v>299</v>
      </c>
      <c r="J33" s="16">
        <f>SUM(I$5:I33)</f>
        <v>953450</v>
      </c>
      <c r="K33" s="16"/>
      <c r="L33" s="18">
        <f t="shared" ca="1" si="24"/>
        <v>0.73949579831932777</v>
      </c>
      <c r="M33" s="40">
        <f t="shared" ca="1" si="1"/>
        <v>2226.577334554981</v>
      </c>
      <c r="N33" s="16">
        <f t="shared" ca="1" si="2"/>
        <v>119</v>
      </c>
      <c r="O33" s="16">
        <f ca="1">SUM(N$5:N33)</f>
        <v>56492</v>
      </c>
      <c r="P33" s="16"/>
      <c r="Q33" s="19">
        <f t="shared" ca="1" si="25"/>
        <v>5.9250091771985945E-2</v>
      </c>
      <c r="R33" s="16"/>
      <c r="S33" s="16">
        <f t="shared" ca="1" si="3"/>
        <v>20000</v>
      </c>
      <c r="T33" s="19">
        <f t="shared" ca="1" si="26"/>
        <v>5.9500000000000004E-3</v>
      </c>
      <c r="U33" s="35"/>
      <c r="V33" s="30">
        <f t="shared" si="4"/>
        <v>0.7</v>
      </c>
      <c r="W33" s="16">
        <f t="shared" si="5"/>
        <v>9046550</v>
      </c>
      <c r="X33" s="16"/>
      <c r="Y33" s="16">
        <f t="shared" si="6"/>
        <v>30</v>
      </c>
      <c r="Z33" s="16">
        <f t="shared" si="7"/>
        <v>179</v>
      </c>
      <c r="AA33" s="16">
        <f t="shared" si="8"/>
        <v>90</v>
      </c>
      <c r="AB33" s="16"/>
      <c r="AC33" s="16">
        <f t="shared" si="9"/>
        <v>10030</v>
      </c>
      <c r="AD33" s="16">
        <f t="shared" si="10"/>
        <v>250172</v>
      </c>
      <c r="AE33" s="16">
        <f t="shared" si="11"/>
        <v>9739798</v>
      </c>
      <c r="AF33" s="16"/>
      <c r="AG33" s="16">
        <f>ROUND(AC33*Desire_severe*(1-SUM($BA$5:$BC32)/Population),0)</f>
        <v>9625</v>
      </c>
      <c r="AH33" s="16">
        <f>ROUND(AD33*Desire_mild*(1-SUM($BA$5:$BC32)/Population),0)</f>
        <v>120029</v>
      </c>
      <c r="AI33" s="16">
        <f>ROUND(AE33*Desire_asy*(1-SUM($BA$5:$BC32)/Population),0)</f>
        <v>186921</v>
      </c>
      <c r="AJ33" s="16"/>
      <c r="AK33" s="16">
        <f t="shared" si="35"/>
        <v>20000</v>
      </c>
      <c r="AL33" s="16">
        <f t="shared" si="13"/>
        <v>20000</v>
      </c>
      <c r="AM33" s="16">
        <f t="shared" si="27"/>
        <v>0</v>
      </c>
      <c r="AN33" s="16"/>
      <c r="AO33" s="16">
        <f t="shared" si="36"/>
        <v>9625</v>
      </c>
      <c r="AP33" s="16">
        <f t="shared" si="37"/>
        <v>10375</v>
      </c>
      <c r="AQ33" s="16">
        <f t="shared" si="28"/>
        <v>0</v>
      </c>
      <c r="AR33" s="16"/>
      <c r="AS33" s="16">
        <f t="shared" si="38"/>
        <v>0</v>
      </c>
      <c r="AT33" s="16">
        <f t="shared" si="38"/>
        <v>109654</v>
      </c>
      <c r="AU33" s="16">
        <f t="shared" si="38"/>
        <v>186921</v>
      </c>
      <c r="AV33" s="16"/>
      <c r="AW33" s="16">
        <f t="shared" si="29"/>
        <v>0</v>
      </c>
      <c r="AX33" s="16">
        <f t="shared" si="15"/>
        <v>0</v>
      </c>
      <c r="AY33" s="16">
        <f t="shared" si="30"/>
        <v>0</v>
      </c>
      <c r="AZ33" s="16"/>
      <c r="BA33" s="16">
        <f t="shared" si="31"/>
        <v>9625</v>
      </c>
      <c r="BB33" s="16">
        <f t="shared" si="31"/>
        <v>10375</v>
      </c>
      <c r="BC33" s="16">
        <f t="shared" si="31"/>
        <v>0</v>
      </c>
      <c r="BD33" s="16"/>
      <c r="BE33" s="20">
        <f t="shared" si="32"/>
        <v>2.9910269192422734E-3</v>
      </c>
      <c r="BF33" s="20">
        <f t="shared" si="32"/>
        <v>7.1550773068129129E-4</v>
      </c>
      <c r="BG33" s="20">
        <f t="shared" si="32"/>
        <v>9.2404380460457184E-6</v>
      </c>
      <c r="BH33" s="16"/>
      <c r="BI33" s="16">
        <f t="shared" si="18"/>
        <v>42</v>
      </c>
      <c r="BJ33" s="16">
        <f t="shared" si="19"/>
        <v>27</v>
      </c>
      <c r="BK33" s="16">
        <f t="shared" si="20"/>
        <v>0</v>
      </c>
      <c r="BL33" s="16"/>
      <c r="BM33" s="16">
        <f t="shared" si="33"/>
        <v>69</v>
      </c>
      <c r="BN33" s="22">
        <f t="shared" si="39"/>
        <v>0.78409090909090906</v>
      </c>
      <c r="BO33" s="19">
        <f t="shared" si="40"/>
        <v>3.4499999999999999E-3</v>
      </c>
    </row>
    <row r="34" spans="1:67" s="9" customFormat="1" ht="13" customHeight="1" x14ac:dyDescent="0.15">
      <c r="A34" s="15" t="s">
        <v>53</v>
      </c>
      <c r="B34" s="25">
        <v>20000</v>
      </c>
      <c r="D34" s="38">
        <f t="shared" si="34"/>
        <v>29</v>
      </c>
      <c r="E34" s="41">
        <f t="shared" si="21"/>
        <v>43976</v>
      </c>
      <c r="F34" s="16"/>
      <c r="G34" s="17">
        <f t="shared" si="22"/>
        <v>0.6</v>
      </c>
      <c r="H34" s="40">
        <f t="shared" si="0"/>
        <v>30603.859955523189</v>
      </c>
      <c r="I34" s="16">
        <f t="shared" si="23"/>
        <v>180</v>
      </c>
      <c r="J34" s="16">
        <f>SUM(I$5:I34)</f>
        <v>953630</v>
      </c>
      <c r="K34" s="16"/>
      <c r="L34" s="18">
        <f t="shared" ca="1" si="24"/>
        <v>0.78409090909090906</v>
      </c>
      <c r="M34" s="40">
        <f t="shared" ca="1" si="1"/>
        <v>2843.6359562528355</v>
      </c>
      <c r="N34" s="16">
        <f t="shared" ca="1" si="2"/>
        <v>88</v>
      </c>
      <c r="O34" s="16">
        <f ca="1">SUM(N$5:N34)</f>
        <v>56580</v>
      </c>
      <c r="P34" s="16"/>
      <c r="Q34" s="19">
        <f t="shared" ca="1" si="25"/>
        <v>5.9331187148055325E-2</v>
      </c>
      <c r="R34" s="16"/>
      <c r="S34" s="16">
        <f t="shared" ca="1" si="3"/>
        <v>20000</v>
      </c>
      <c r="T34" s="19">
        <f t="shared" ca="1" si="26"/>
        <v>4.4000000000000003E-3</v>
      </c>
      <c r="U34" s="35"/>
      <c r="V34" s="30">
        <f t="shared" si="4"/>
        <v>0.7</v>
      </c>
      <c r="W34" s="16">
        <f t="shared" si="5"/>
        <v>9046370</v>
      </c>
      <c r="X34" s="16"/>
      <c r="Y34" s="16">
        <f t="shared" si="6"/>
        <v>18</v>
      </c>
      <c r="Z34" s="16">
        <f t="shared" si="7"/>
        <v>108</v>
      </c>
      <c r="AA34" s="16">
        <f t="shared" si="8"/>
        <v>54</v>
      </c>
      <c r="AB34" s="16"/>
      <c r="AC34" s="16">
        <f t="shared" si="9"/>
        <v>10018</v>
      </c>
      <c r="AD34" s="16">
        <f t="shared" si="10"/>
        <v>250104</v>
      </c>
      <c r="AE34" s="16">
        <f t="shared" si="11"/>
        <v>9739878</v>
      </c>
      <c r="AF34" s="16"/>
      <c r="AG34" s="16">
        <f>ROUND(AC34*Desire_severe*(1-SUM($BA$5:$BC33)/Population),0)</f>
        <v>9593</v>
      </c>
      <c r="AH34" s="16">
        <f>ROUND(AD34*Desire_mild*(1-SUM($BA$5:$BC33)/Population),0)</f>
        <v>119746</v>
      </c>
      <c r="AI34" s="16">
        <f>ROUND(AE34*Desire_asy*(1-SUM($BA$5:$BC33)/Population),0)</f>
        <v>186533</v>
      </c>
      <c r="AJ34" s="16"/>
      <c r="AK34" s="16">
        <f t="shared" si="35"/>
        <v>20000</v>
      </c>
      <c r="AL34" s="16">
        <f t="shared" si="13"/>
        <v>20000</v>
      </c>
      <c r="AM34" s="16">
        <f t="shared" si="27"/>
        <v>0</v>
      </c>
      <c r="AN34" s="16"/>
      <c r="AO34" s="16">
        <f t="shared" si="36"/>
        <v>9593</v>
      </c>
      <c r="AP34" s="16">
        <f t="shared" si="37"/>
        <v>10407</v>
      </c>
      <c r="AQ34" s="16">
        <f t="shared" si="28"/>
        <v>0</v>
      </c>
      <c r="AR34" s="16"/>
      <c r="AS34" s="16">
        <f t="shared" si="38"/>
        <v>0</v>
      </c>
      <c r="AT34" s="16">
        <f t="shared" si="38"/>
        <v>109339</v>
      </c>
      <c r="AU34" s="16">
        <f t="shared" si="38"/>
        <v>186533</v>
      </c>
      <c r="AV34" s="16"/>
      <c r="AW34" s="16">
        <f t="shared" si="29"/>
        <v>0</v>
      </c>
      <c r="AX34" s="16">
        <f t="shared" si="15"/>
        <v>0</v>
      </c>
      <c r="AY34" s="16">
        <f t="shared" si="30"/>
        <v>0</v>
      </c>
      <c r="AZ34" s="16"/>
      <c r="BA34" s="16">
        <f t="shared" si="31"/>
        <v>9593</v>
      </c>
      <c r="BB34" s="16">
        <f t="shared" si="31"/>
        <v>10407</v>
      </c>
      <c r="BC34" s="16">
        <f t="shared" si="31"/>
        <v>0</v>
      </c>
      <c r="BD34" s="16"/>
      <c r="BE34" s="20">
        <f t="shared" si="32"/>
        <v>1.7967658215212617E-3</v>
      </c>
      <c r="BF34" s="20">
        <f t="shared" si="32"/>
        <v>4.318203627291047E-4</v>
      </c>
      <c r="BG34" s="20">
        <f t="shared" si="32"/>
        <v>5.544217288963989E-6</v>
      </c>
      <c r="BH34" s="16"/>
      <c r="BI34" s="16">
        <f t="shared" si="18"/>
        <v>33</v>
      </c>
      <c r="BJ34" s="16">
        <f t="shared" si="19"/>
        <v>25</v>
      </c>
      <c r="BK34" s="16">
        <f t="shared" si="20"/>
        <v>0</v>
      </c>
      <c r="BL34" s="16"/>
      <c r="BM34" s="16">
        <f t="shared" si="33"/>
        <v>58</v>
      </c>
      <c r="BN34" s="22">
        <f t="shared" si="39"/>
        <v>0.84057971014492749</v>
      </c>
      <c r="BO34" s="19">
        <f t="shared" si="40"/>
        <v>2.8999999999999998E-3</v>
      </c>
    </row>
    <row r="35" spans="1:67" s="9" customFormat="1" ht="13" customHeight="1" x14ac:dyDescent="0.15">
      <c r="B35" s="8"/>
      <c r="D35" s="38">
        <f t="shared" si="34"/>
        <v>30</v>
      </c>
      <c r="E35" s="41">
        <f t="shared" si="21"/>
        <v>43981</v>
      </c>
      <c r="F35" s="16"/>
      <c r="G35" s="17">
        <f t="shared" si="22"/>
        <v>0.60185185185185186</v>
      </c>
      <c r="H35" s="40">
        <f t="shared" si="0"/>
        <v>50854.102516927887</v>
      </c>
      <c r="I35" s="16">
        <f t="shared" si="23"/>
        <v>108</v>
      </c>
      <c r="J35" s="16">
        <f>SUM(I$5:I35)</f>
        <v>953738</v>
      </c>
      <c r="K35" s="16"/>
      <c r="L35" s="18">
        <f t="shared" ca="1" si="24"/>
        <v>0.84057971014492749</v>
      </c>
      <c r="M35" s="40">
        <f t="shared" ca="1" si="1"/>
        <v>3386.7407302946826</v>
      </c>
      <c r="N35" s="16">
        <f t="shared" ca="1" si="2"/>
        <v>69</v>
      </c>
      <c r="O35" s="16">
        <f ca="1">SUM(N$5:N35)</f>
        <v>56649</v>
      </c>
      <c r="P35" s="16"/>
      <c r="Q35" s="19">
        <f t="shared" ca="1" si="25"/>
        <v>5.9396815477625931E-2</v>
      </c>
      <c r="R35" s="16"/>
      <c r="S35" s="16">
        <f t="shared" ca="1" si="3"/>
        <v>20000</v>
      </c>
      <c r="T35" s="19">
        <f t="shared" ca="1" si="26"/>
        <v>3.4499999999999999E-3</v>
      </c>
      <c r="U35" s="35"/>
      <c r="V35" s="30">
        <f t="shared" si="4"/>
        <v>0.7</v>
      </c>
      <c r="W35" s="16">
        <f t="shared" si="5"/>
        <v>9046262</v>
      </c>
      <c r="X35" s="16"/>
      <c r="Y35" s="16">
        <f t="shared" si="6"/>
        <v>11</v>
      </c>
      <c r="Z35" s="16">
        <f t="shared" si="7"/>
        <v>65</v>
      </c>
      <c r="AA35" s="16">
        <f t="shared" si="8"/>
        <v>32</v>
      </c>
      <c r="AB35" s="16"/>
      <c r="AC35" s="16">
        <f t="shared" si="9"/>
        <v>10011</v>
      </c>
      <c r="AD35" s="16">
        <f t="shared" si="10"/>
        <v>250062</v>
      </c>
      <c r="AE35" s="16">
        <f t="shared" si="11"/>
        <v>9739927</v>
      </c>
      <c r="AF35" s="16"/>
      <c r="AG35" s="16">
        <f>ROUND(AC35*Desire_severe*(1-SUM($BA$5:$BC34)/Population),0)</f>
        <v>9566</v>
      </c>
      <c r="AH35" s="16">
        <f>ROUND(AD35*Desire_mild*(1-SUM($BA$5:$BC34)/Population),0)</f>
        <v>119476</v>
      </c>
      <c r="AI35" s="16">
        <f>ROUND(AE35*Desire_asy*(1-SUM($BA$5:$BC34)/Population),0)</f>
        <v>186144</v>
      </c>
      <c r="AJ35" s="16"/>
      <c r="AK35" s="16">
        <f t="shared" si="35"/>
        <v>20000</v>
      </c>
      <c r="AL35" s="16">
        <f t="shared" si="13"/>
        <v>20000</v>
      </c>
      <c r="AM35" s="16">
        <f t="shared" si="27"/>
        <v>0</v>
      </c>
      <c r="AN35" s="16"/>
      <c r="AO35" s="16">
        <f t="shared" si="36"/>
        <v>9566</v>
      </c>
      <c r="AP35" s="16">
        <f t="shared" si="37"/>
        <v>10434</v>
      </c>
      <c r="AQ35" s="16">
        <f t="shared" si="28"/>
        <v>0</v>
      </c>
      <c r="AR35" s="16"/>
      <c r="AS35" s="16">
        <f t="shared" si="38"/>
        <v>0</v>
      </c>
      <c r="AT35" s="16">
        <f t="shared" si="38"/>
        <v>109042</v>
      </c>
      <c r="AU35" s="16">
        <f t="shared" si="38"/>
        <v>186144</v>
      </c>
      <c r="AV35" s="16"/>
      <c r="AW35" s="16">
        <f t="shared" si="29"/>
        <v>0</v>
      </c>
      <c r="AX35" s="16">
        <f t="shared" si="15"/>
        <v>0</v>
      </c>
      <c r="AY35" s="16">
        <f t="shared" si="30"/>
        <v>0</v>
      </c>
      <c r="AZ35" s="16"/>
      <c r="BA35" s="16">
        <f t="shared" si="31"/>
        <v>9566</v>
      </c>
      <c r="BB35" s="16">
        <f t="shared" si="31"/>
        <v>10434</v>
      </c>
      <c r="BC35" s="16">
        <f t="shared" si="31"/>
        <v>0</v>
      </c>
      <c r="BD35" s="16"/>
      <c r="BE35" s="20">
        <f t="shared" si="32"/>
        <v>1.0987913295375088E-3</v>
      </c>
      <c r="BF35" s="20">
        <f t="shared" si="32"/>
        <v>2.5993553598707518E-4</v>
      </c>
      <c r="BG35" s="20">
        <f t="shared" si="32"/>
        <v>3.2854455685345486E-6</v>
      </c>
      <c r="BH35" s="16"/>
      <c r="BI35" s="16">
        <f t="shared" si="18"/>
        <v>27</v>
      </c>
      <c r="BJ35" s="16">
        <f t="shared" si="19"/>
        <v>23</v>
      </c>
      <c r="BK35" s="16">
        <f t="shared" si="20"/>
        <v>0</v>
      </c>
      <c r="BL35" s="16"/>
      <c r="BM35" s="16">
        <f t="shared" si="33"/>
        <v>50</v>
      </c>
      <c r="BN35" s="22">
        <f t="shared" si="39"/>
        <v>0.86206896551724133</v>
      </c>
      <c r="BO35" s="19">
        <f t="shared" si="40"/>
        <v>2.5000000000000001E-3</v>
      </c>
    </row>
    <row r="36" spans="1:67" s="9" customFormat="1" ht="13" customHeight="1" x14ac:dyDescent="0.15">
      <c r="A36" s="15" t="s">
        <v>20</v>
      </c>
      <c r="B36" s="23">
        <v>1</v>
      </c>
      <c r="D36" s="38">
        <f t="shared" si="34"/>
        <v>31</v>
      </c>
      <c r="E36" s="41">
        <f t="shared" si="21"/>
        <v>43986</v>
      </c>
      <c r="F36" s="16"/>
      <c r="G36" s="17">
        <f t="shared" si="22"/>
        <v>0.6</v>
      </c>
      <c r="H36" s="40">
        <f t="shared" si="0"/>
        <v>84761.45853061114</v>
      </c>
      <c r="I36" s="16">
        <f t="shared" si="23"/>
        <v>65</v>
      </c>
      <c r="J36" s="16">
        <f>SUM(I$5:I36)</f>
        <v>953803</v>
      </c>
      <c r="K36" s="16"/>
      <c r="L36" s="18">
        <f t="shared" ca="1" si="24"/>
        <v>0.86206896551724133</v>
      </c>
      <c r="M36" s="40">
        <f t="shared" ca="1" si="1"/>
        <v>3932.3623302130368</v>
      </c>
      <c r="N36" s="16">
        <f t="shared" ca="1" si="2"/>
        <v>58</v>
      </c>
      <c r="O36" s="16">
        <f ca="1">SUM(N$5:N36)</f>
        <v>56707</v>
      </c>
      <c r="P36" s="16"/>
      <c r="Q36" s="19">
        <f t="shared" ca="1" si="25"/>
        <v>5.9453576891664209E-2</v>
      </c>
      <c r="R36" s="16"/>
      <c r="S36" s="16">
        <f t="shared" ca="1" si="3"/>
        <v>20000</v>
      </c>
      <c r="T36" s="19">
        <f t="shared" ca="1" si="26"/>
        <v>2.8999999999999998E-3</v>
      </c>
      <c r="U36" s="35"/>
      <c r="V36" s="30">
        <f t="shared" si="4"/>
        <v>0.7</v>
      </c>
      <c r="W36" s="16">
        <f t="shared" si="5"/>
        <v>9046197</v>
      </c>
      <c r="X36" s="16"/>
      <c r="Y36" s="16">
        <f t="shared" si="6"/>
        <v>7</v>
      </c>
      <c r="Z36" s="16">
        <f t="shared" si="7"/>
        <v>39</v>
      </c>
      <c r="AA36" s="16">
        <f t="shared" si="8"/>
        <v>19</v>
      </c>
      <c r="AB36" s="16"/>
      <c r="AC36" s="16">
        <f t="shared" si="9"/>
        <v>10007</v>
      </c>
      <c r="AD36" s="16">
        <f t="shared" si="10"/>
        <v>250037</v>
      </c>
      <c r="AE36" s="16">
        <f t="shared" si="11"/>
        <v>9739956</v>
      </c>
      <c r="AF36" s="16"/>
      <c r="AG36" s="16">
        <f>ROUND(AC36*Desire_severe*(1-SUM($BA$5:$BC35)/Population),0)</f>
        <v>9542</v>
      </c>
      <c r="AH36" s="16">
        <f>ROUND(AD36*Desire_mild*(1-SUM($BA$5:$BC35)/Population),0)</f>
        <v>119214</v>
      </c>
      <c r="AI36" s="16">
        <f>ROUND(AE36*Desire_asy*(1-SUM($BA$5:$BC35)/Population),0)</f>
        <v>185755</v>
      </c>
      <c r="AJ36" s="16"/>
      <c r="AK36" s="16">
        <f t="shared" si="35"/>
        <v>20000</v>
      </c>
      <c r="AL36" s="16">
        <f t="shared" ref="AL36:AL40" si="41">ROUND(AK36*Rationed_tests,0)</f>
        <v>20000</v>
      </c>
      <c r="AM36" s="16">
        <f t="shared" si="27"/>
        <v>0</v>
      </c>
      <c r="AN36" s="16"/>
      <c r="AO36" s="16">
        <f t="shared" si="36"/>
        <v>9542</v>
      </c>
      <c r="AP36" s="16">
        <f t="shared" si="37"/>
        <v>10458</v>
      </c>
      <c r="AQ36" s="16">
        <f t="shared" si="28"/>
        <v>0</v>
      </c>
      <c r="AR36" s="16"/>
      <c r="AS36" s="16">
        <f t="shared" ref="AS36:AU41" si="42">AG36-AO36</f>
        <v>0</v>
      </c>
      <c r="AT36" s="16">
        <f t="shared" si="42"/>
        <v>108756</v>
      </c>
      <c r="AU36" s="16">
        <f t="shared" si="42"/>
        <v>185755</v>
      </c>
      <c r="AV36" s="16"/>
      <c r="AW36" s="16">
        <f t="shared" si="29"/>
        <v>0</v>
      </c>
      <c r="AX36" s="16">
        <f t="shared" si="15"/>
        <v>0</v>
      </c>
      <c r="AY36" s="16">
        <f t="shared" si="30"/>
        <v>0</v>
      </c>
      <c r="AZ36" s="16"/>
      <c r="BA36" s="16">
        <f t="shared" ref="BA36:BC41" si="43">AW36+AO36</f>
        <v>9542</v>
      </c>
      <c r="BB36" s="16">
        <f t="shared" si="43"/>
        <v>10458</v>
      </c>
      <c r="BC36" s="16">
        <f t="shared" si="43"/>
        <v>0</v>
      </c>
      <c r="BD36" s="16"/>
      <c r="BE36" s="20">
        <f t="shared" ref="BE36:BG41" si="44">Y36/AC36</f>
        <v>6.9951034276006792E-4</v>
      </c>
      <c r="BF36" s="20">
        <f t="shared" si="44"/>
        <v>1.5597691541651836E-4</v>
      </c>
      <c r="BG36" s="20">
        <f t="shared" si="44"/>
        <v>1.9507274981529689E-6</v>
      </c>
      <c r="BH36" s="16"/>
      <c r="BI36" s="16">
        <f t="shared" si="18"/>
        <v>24</v>
      </c>
      <c r="BJ36" s="16">
        <f t="shared" si="19"/>
        <v>22</v>
      </c>
      <c r="BK36" s="16">
        <f t="shared" si="20"/>
        <v>0</v>
      </c>
      <c r="BL36" s="16"/>
      <c r="BM36" s="16">
        <f t="shared" si="33"/>
        <v>46</v>
      </c>
      <c r="BN36" s="22">
        <f t="shared" si="39"/>
        <v>0.92</v>
      </c>
      <c r="BO36" s="19">
        <f t="shared" ref="BO36:BO41" si="45">BM36/SUM(BA36:BC36)</f>
        <v>2.3E-3</v>
      </c>
    </row>
    <row r="37" spans="1:67" s="9" customFormat="1" ht="13" customHeight="1" x14ac:dyDescent="0.15">
      <c r="B37" s="8"/>
      <c r="D37" s="38">
        <f t="shared" si="34"/>
        <v>32</v>
      </c>
      <c r="E37" s="41">
        <f t="shared" si="21"/>
        <v>43991</v>
      </c>
      <c r="F37" s="16"/>
      <c r="G37" s="17">
        <f t="shared" si="22"/>
        <v>0.58974358974358976</v>
      </c>
      <c r="H37" s="40">
        <f t="shared" si="0"/>
        <v>143730.62264316581</v>
      </c>
      <c r="I37" s="16">
        <f t="shared" si="23"/>
        <v>39</v>
      </c>
      <c r="J37" s="16">
        <f>SUM(I$5:I37)</f>
        <v>953842</v>
      </c>
      <c r="K37" s="16"/>
      <c r="L37" s="18">
        <f t="shared" ca="1" si="24"/>
        <v>0.92</v>
      </c>
      <c r="M37" s="40">
        <f t="shared" ca="1" si="1"/>
        <v>4277.9233434332682</v>
      </c>
      <c r="N37" s="16">
        <f t="shared" ca="1" si="2"/>
        <v>50</v>
      </c>
      <c r="O37" s="16">
        <f ca="1">SUM(N$5:N37)</f>
        <v>56757</v>
      </c>
      <c r="P37" s="16"/>
      <c r="Q37" s="19">
        <f t="shared" ca="1" si="25"/>
        <v>5.9503565580043653E-2</v>
      </c>
      <c r="R37" s="16"/>
      <c r="S37" s="16">
        <f t="shared" ca="1" si="3"/>
        <v>20000</v>
      </c>
      <c r="T37" s="19">
        <f t="shared" ca="1" si="26"/>
        <v>2.5000000000000001E-3</v>
      </c>
      <c r="U37" s="35"/>
      <c r="V37" s="30">
        <f t="shared" si="4"/>
        <v>0.7</v>
      </c>
      <c r="W37" s="16">
        <f t="shared" si="5"/>
        <v>9046158</v>
      </c>
      <c r="X37" s="16"/>
      <c r="Y37" s="16">
        <f t="shared" si="6"/>
        <v>4</v>
      </c>
      <c r="Z37" s="16">
        <f t="shared" si="7"/>
        <v>23</v>
      </c>
      <c r="AA37" s="16">
        <f t="shared" si="8"/>
        <v>12</v>
      </c>
      <c r="AB37" s="16"/>
      <c r="AC37" s="16">
        <f t="shared" si="9"/>
        <v>10004</v>
      </c>
      <c r="AD37" s="16">
        <f t="shared" si="10"/>
        <v>250022</v>
      </c>
      <c r="AE37" s="16">
        <f t="shared" si="11"/>
        <v>9739974</v>
      </c>
      <c r="AF37" s="16"/>
      <c r="AG37" s="16">
        <f>ROUND(AC37*Desire_severe*(1-SUM($BA$5:$BC36)/Population),0)</f>
        <v>9520</v>
      </c>
      <c r="AH37" s="16">
        <f>ROUND(AD37*Desire_mild*(1-SUM($BA$5:$BC36)/Population),0)</f>
        <v>118957</v>
      </c>
      <c r="AI37" s="16">
        <f>ROUND(AE37*Desire_asy*(1-SUM($BA$5:$BC36)/Population),0)</f>
        <v>185366</v>
      </c>
      <c r="AJ37" s="16"/>
      <c r="AK37" s="16">
        <f t="shared" si="35"/>
        <v>20000</v>
      </c>
      <c r="AL37" s="16">
        <f t="shared" si="41"/>
        <v>20000</v>
      </c>
      <c r="AM37" s="16">
        <f t="shared" si="27"/>
        <v>0</v>
      </c>
      <c r="AN37" s="16"/>
      <c r="AO37" s="16">
        <f t="shared" si="36"/>
        <v>9520</v>
      </c>
      <c r="AP37" s="16">
        <f t="shared" si="37"/>
        <v>10480</v>
      </c>
      <c r="AQ37" s="16">
        <f t="shared" si="28"/>
        <v>0</v>
      </c>
      <c r="AR37" s="16"/>
      <c r="AS37" s="16">
        <f t="shared" si="42"/>
        <v>0</v>
      </c>
      <c r="AT37" s="16">
        <f t="shared" si="42"/>
        <v>108477</v>
      </c>
      <c r="AU37" s="16">
        <f t="shared" si="42"/>
        <v>185366</v>
      </c>
      <c r="AV37" s="16"/>
      <c r="AW37" s="16">
        <f t="shared" si="29"/>
        <v>0</v>
      </c>
      <c r="AX37" s="16">
        <f t="shared" si="15"/>
        <v>0</v>
      </c>
      <c r="AY37" s="16">
        <f t="shared" si="30"/>
        <v>0</v>
      </c>
      <c r="AZ37" s="16"/>
      <c r="BA37" s="16">
        <f t="shared" si="43"/>
        <v>9520</v>
      </c>
      <c r="BB37" s="16">
        <f t="shared" si="43"/>
        <v>10480</v>
      </c>
      <c r="BC37" s="16">
        <f t="shared" si="43"/>
        <v>0</v>
      </c>
      <c r="BD37" s="16"/>
      <c r="BE37" s="20">
        <f t="shared" si="44"/>
        <v>3.9984006397441024E-4</v>
      </c>
      <c r="BF37" s="20">
        <f t="shared" si="44"/>
        <v>9.199190471238531E-5</v>
      </c>
      <c r="BG37" s="20">
        <f t="shared" si="44"/>
        <v>1.2320361430122915E-6</v>
      </c>
      <c r="BH37" s="16"/>
      <c r="BI37" s="16">
        <f t="shared" si="18"/>
        <v>22</v>
      </c>
      <c r="BJ37" s="16">
        <f t="shared" si="19"/>
        <v>22</v>
      </c>
      <c r="BK37" s="16">
        <f t="shared" si="20"/>
        <v>0</v>
      </c>
      <c r="BL37" s="16"/>
      <c r="BM37" s="16">
        <f t="shared" si="33"/>
        <v>44</v>
      </c>
      <c r="BN37" s="22">
        <f t="shared" si="39"/>
        <v>0.95652173913043481</v>
      </c>
      <c r="BO37" s="19">
        <f t="shared" si="45"/>
        <v>2.2000000000000001E-3</v>
      </c>
    </row>
    <row r="38" spans="1:67" s="9" customFormat="1" ht="13" customHeight="1" x14ac:dyDescent="0.15">
      <c r="A38" s="15" t="s">
        <v>4</v>
      </c>
      <c r="B38" s="26">
        <v>0.2</v>
      </c>
      <c r="D38" s="38">
        <f t="shared" si="34"/>
        <v>33</v>
      </c>
      <c r="E38" s="41">
        <f t="shared" si="21"/>
        <v>43996</v>
      </c>
      <c r="F38" s="16"/>
      <c r="G38" s="17">
        <f t="shared" si="22"/>
        <v>0.60869565217391308</v>
      </c>
      <c r="H38" s="40">
        <f t="shared" si="0"/>
        <v>236133.45978628905</v>
      </c>
      <c r="I38" s="16">
        <f t="shared" si="23"/>
        <v>23</v>
      </c>
      <c r="J38" s="16">
        <f>SUM(I$5:I38)</f>
        <v>953865</v>
      </c>
      <c r="K38" s="16"/>
      <c r="L38" s="18">
        <f t="shared" ca="1" si="24"/>
        <v>0.95652173913043481</v>
      </c>
      <c r="M38" s="40">
        <f t="shared" ca="1" si="1"/>
        <v>4475.9189281124382</v>
      </c>
      <c r="N38" s="16">
        <f t="shared" ca="1" si="2"/>
        <v>46</v>
      </c>
      <c r="O38" s="16">
        <f ca="1">SUM(N$5:N38)</f>
        <v>56803</v>
      </c>
      <c r="P38" s="16"/>
      <c r="Q38" s="19">
        <f t="shared" ca="1" si="25"/>
        <v>5.9550355658295459E-2</v>
      </c>
      <c r="R38" s="16"/>
      <c r="S38" s="16">
        <f t="shared" ca="1" si="3"/>
        <v>20000</v>
      </c>
      <c r="T38" s="19">
        <f t="shared" ca="1" si="26"/>
        <v>2.3E-3</v>
      </c>
      <c r="U38" s="35"/>
      <c r="V38" s="30">
        <f t="shared" si="4"/>
        <v>0.7</v>
      </c>
      <c r="W38" s="16">
        <f t="shared" si="5"/>
        <v>9046135</v>
      </c>
      <c r="X38" s="16"/>
      <c r="Y38" s="16">
        <f t="shared" si="6"/>
        <v>2</v>
      </c>
      <c r="Z38" s="16">
        <f t="shared" si="7"/>
        <v>14</v>
      </c>
      <c r="AA38" s="16">
        <f t="shared" si="8"/>
        <v>7</v>
      </c>
      <c r="AB38" s="16"/>
      <c r="AC38" s="16">
        <f t="shared" si="9"/>
        <v>10002</v>
      </c>
      <c r="AD38" s="16">
        <f t="shared" si="10"/>
        <v>250013</v>
      </c>
      <c r="AE38" s="16">
        <f t="shared" si="11"/>
        <v>9739985</v>
      </c>
      <c r="AF38" s="16"/>
      <c r="AG38" s="16">
        <f>ROUND(AC38*Desire_severe*(1-SUM($BA$5:$BC37)/Population),0)</f>
        <v>9498</v>
      </c>
      <c r="AH38" s="16">
        <f>ROUND(AD38*Desire_mild*(1-SUM($BA$5:$BC37)/Population),0)</f>
        <v>118703</v>
      </c>
      <c r="AI38" s="16">
        <f>ROUND(AE38*Desire_asy*(1-SUM($BA$5:$BC37)/Population),0)</f>
        <v>184977</v>
      </c>
      <c r="AJ38" s="16"/>
      <c r="AK38" s="16">
        <f t="shared" si="35"/>
        <v>20000</v>
      </c>
      <c r="AL38" s="16">
        <f t="shared" si="41"/>
        <v>20000</v>
      </c>
      <c r="AM38" s="16">
        <f t="shared" si="27"/>
        <v>0</v>
      </c>
      <c r="AN38" s="16"/>
      <c r="AO38" s="16">
        <f t="shared" si="36"/>
        <v>9498</v>
      </c>
      <c r="AP38" s="16">
        <f t="shared" si="37"/>
        <v>10502</v>
      </c>
      <c r="AQ38" s="16">
        <f t="shared" si="28"/>
        <v>0</v>
      </c>
      <c r="AR38" s="16"/>
      <c r="AS38" s="16">
        <f t="shared" si="42"/>
        <v>0</v>
      </c>
      <c r="AT38" s="16">
        <f t="shared" si="42"/>
        <v>108201</v>
      </c>
      <c r="AU38" s="16">
        <f t="shared" si="42"/>
        <v>184977</v>
      </c>
      <c r="AV38" s="16"/>
      <c r="AW38" s="16">
        <f t="shared" si="29"/>
        <v>0</v>
      </c>
      <c r="AX38" s="16">
        <f t="shared" si="15"/>
        <v>0</v>
      </c>
      <c r="AY38" s="16">
        <f t="shared" si="30"/>
        <v>0</v>
      </c>
      <c r="AZ38" s="16"/>
      <c r="BA38" s="16">
        <f t="shared" si="43"/>
        <v>9498</v>
      </c>
      <c r="BB38" s="16">
        <f t="shared" si="43"/>
        <v>10502</v>
      </c>
      <c r="BC38" s="16">
        <f t="shared" si="43"/>
        <v>0</v>
      </c>
      <c r="BD38" s="16"/>
      <c r="BE38" s="20">
        <f t="shared" si="44"/>
        <v>1.9996000799840031E-4</v>
      </c>
      <c r="BF38" s="20">
        <f t="shared" si="44"/>
        <v>5.5997088151416125E-5</v>
      </c>
      <c r="BG38" s="20">
        <f t="shared" si="44"/>
        <v>7.1868693842957662E-7</v>
      </c>
      <c r="BH38" s="16"/>
      <c r="BI38" s="16">
        <f t="shared" si="18"/>
        <v>21</v>
      </c>
      <c r="BJ38" s="16">
        <f t="shared" si="19"/>
        <v>21</v>
      </c>
      <c r="BK38" s="16">
        <f t="shared" si="20"/>
        <v>0</v>
      </c>
      <c r="BL38" s="16"/>
      <c r="BM38" s="16">
        <f t="shared" si="33"/>
        <v>42</v>
      </c>
      <c r="BN38" s="22">
        <f t="shared" si="39"/>
        <v>0.95454545454545459</v>
      </c>
      <c r="BO38" s="19">
        <f t="shared" si="45"/>
        <v>2.0999999999999999E-3</v>
      </c>
    </row>
    <row r="39" spans="1:67" s="9" customFormat="1" ht="13" customHeight="1" x14ac:dyDescent="0.15">
      <c r="A39" s="15" t="s">
        <v>5</v>
      </c>
      <c r="B39" s="26">
        <v>2E-3</v>
      </c>
      <c r="D39" s="38">
        <f t="shared" si="34"/>
        <v>34</v>
      </c>
      <c r="E39" s="41">
        <f t="shared" si="21"/>
        <v>44001</v>
      </c>
      <c r="F39" s="16"/>
      <c r="G39" s="17">
        <f t="shared" si="22"/>
        <v>0.5714285714285714</v>
      </c>
      <c r="H39" s="40">
        <f t="shared" si="0"/>
        <v>413238.32002252806</v>
      </c>
      <c r="I39" s="16">
        <f t="shared" si="23"/>
        <v>14</v>
      </c>
      <c r="J39" s="16">
        <f>SUM(I$5:I39)</f>
        <v>953879</v>
      </c>
      <c r="K39" s="16"/>
      <c r="L39" s="18">
        <f t="shared" ca="1" si="24"/>
        <v>0.95454545454545459</v>
      </c>
      <c r="M39" s="40">
        <f t="shared" ca="1" si="1"/>
        <v>4692.6061990882208</v>
      </c>
      <c r="N39" s="16">
        <f t="shared" ca="1" si="2"/>
        <v>44</v>
      </c>
      <c r="O39" s="16">
        <f ca="1">SUM(N$5:N39)</f>
        <v>56847</v>
      </c>
      <c r="P39" s="16"/>
      <c r="Q39" s="19">
        <f t="shared" ca="1" si="25"/>
        <v>5.9595609086687096E-2</v>
      </c>
      <c r="R39" s="16"/>
      <c r="S39" s="16">
        <f t="shared" ca="1" si="3"/>
        <v>20000</v>
      </c>
      <c r="T39" s="19">
        <f t="shared" ca="1" si="26"/>
        <v>2.2000000000000001E-3</v>
      </c>
      <c r="U39" s="35"/>
      <c r="V39" s="30">
        <f t="shared" si="4"/>
        <v>0.7</v>
      </c>
      <c r="W39" s="16">
        <f t="shared" si="5"/>
        <v>9046121</v>
      </c>
      <c r="X39" s="16"/>
      <c r="Y39" s="16">
        <f t="shared" si="6"/>
        <v>1</v>
      </c>
      <c r="Z39" s="16">
        <f t="shared" si="7"/>
        <v>8</v>
      </c>
      <c r="AA39" s="16">
        <f t="shared" si="8"/>
        <v>5</v>
      </c>
      <c r="AB39" s="16"/>
      <c r="AC39" s="16">
        <f t="shared" si="9"/>
        <v>10001</v>
      </c>
      <c r="AD39" s="16">
        <f t="shared" si="10"/>
        <v>250008</v>
      </c>
      <c r="AE39" s="16">
        <f t="shared" si="11"/>
        <v>9739991</v>
      </c>
      <c r="AF39" s="16"/>
      <c r="AG39" s="16">
        <f>ROUND(AC39*Desire_severe*(1-SUM($BA$5:$BC38)/Population),0)</f>
        <v>9477</v>
      </c>
      <c r="AH39" s="16">
        <f>ROUND(AD39*Desire_mild*(1-SUM($BA$5:$BC38)/Population),0)</f>
        <v>118450</v>
      </c>
      <c r="AI39" s="16">
        <f>ROUND(AE39*Desire_asy*(1-SUM($BA$5:$BC38)/Population),0)</f>
        <v>184587</v>
      </c>
      <c r="AJ39" s="16"/>
      <c r="AK39" s="16">
        <f t="shared" si="35"/>
        <v>20000</v>
      </c>
      <c r="AL39" s="16">
        <f t="shared" si="41"/>
        <v>20000</v>
      </c>
      <c r="AM39" s="16">
        <f t="shared" si="27"/>
        <v>0</v>
      </c>
      <c r="AN39" s="16"/>
      <c r="AO39" s="16">
        <f t="shared" si="36"/>
        <v>9477</v>
      </c>
      <c r="AP39" s="16">
        <f t="shared" si="37"/>
        <v>10523</v>
      </c>
      <c r="AQ39" s="16">
        <f t="shared" si="28"/>
        <v>0</v>
      </c>
      <c r="AR39" s="16"/>
      <c r="AS39" s="16">
        <f t="shared" si="42"/>
        <v>0</v>
      </c>
      <c r="AT39" s="16">
        <f t="shared" si="42"/>
        <v>107927</v>
      </c>
      <c r="AU39" s="16">
        <f t="shared" si="42"/>
        <v>184587</v>
      </c>
      <c r="AV39" s="16"/>
      <c r="AW39" s="16">
        <f t="shared" si="29"/>
        <v>0</v>
      </c>
      <c r="AX39" s="16">
        <f t="shared" si="15"/>
        <v>0</v>
      </c>
      <c r="AY39" s="16">
        <f t="shared" si="30"/>
        <v>0</v>
      </c>
      <c r="AZ39" s="16"/>
      <c r="BA39" s="16">
        <f t="shared" si="43"/>
        <v>9477</v>
      </c>
      <c r="BB39" s="16">
        <f t="shared" si="43"/>
        <v>10523</v>
      </c>
      <c r="BC39" s="16">
        <f t="shared" si="43"/>
        <v>0</v>
      </c>
      <c r="BD39" s="16"/>
      <c r="BE39" s="20">
        <f t="shared" si="44"/>
        <v>9.9990000999900015E-5</v>
      </c>
      <c r="BF39" s="20">
        <f t="shared" si="44"/>
        <v>3.1998976032766952E-5</v>
      </c>
      <c r="BG39" s="20">
        <f t="shared" si="44"/>
        <v>5.1334749693300536E-7</v>
      </c>
      <c r="BH39" s="16"/>
      <c r="BI39" s="16">
        <f t="shared" si="18"/>
        <v>20</v>
      </c>
      <c r="BJ39" s="16">
        <f t="shared" si="19"/>
        <v>21</v>
      </c>
      <c r="BK39" s="16">
        <f t="shared" si="20"/>
        <v>0</v>
      </c>
      <c r="BL39" s="16"/>
      <c r="BM39" s="16">
        <f t="shared" si="33"/>
        <v>41</v>
      </c>
      <c r="BN39" s="22">
        <f t="shared" si="39"/>
        <v>0.97619047619047616</v>
      </c>
      <c r="BO39" s="19">
        <f t="shared" si="45"/>
        <v>2.0500000000000002E-3</v>
      </c>
    </row>
    <row r="40" spans="1:67" s="9" customFormat="1" ht="13" customHeight="1" x14ac:dyDescent="0.15">
      <c r="B40" s="8"/>
      <c r="D40" s="38">
        <f t="shared" si="34"/>
        <v>35</v>
      </c>
      <c r="E40" s="41">
        <f t="shared" si="21"/>
        <v>44006</v>
      </c>
      <c r="F40" s="16"/>
      <c r="G40" s="17" t="str">
        <f t="shared" si="22"/>
        <v/>
      </c>
      <c r="H40" s="40">
        <f t="shared" si="0"/>
        <v>661185.8174810491</v>
      </c>
      <c r="I40" s="16">
        <f t="shared" si="23"/>
        <v>8</v>
      </c>
      <c r="J40" s="16">
        <f>SUM(I$5:I40)</f>
        <v>953887</v>
      </c>
      <c r="K40" s="16"/>
      <c r="L40" s="18">
        <f t="shared" ca="1" si="24"/>
        <v>0.97619047619047616</v>
      </c>
      <c r="M40" s="40">
        <f t="shared" ca="1" si="1"/>
        <v>4810.5680202307294</v>
      </c>
      <c r="N40" s="16">
        <f t="shared" ca="1" si="2"/>
        <v>42</v>
      </c>
      <c r="O40" s="16">
        <f ca="1">SUM(N$5:N40)</f>
        <v>56889</v>
      </c>
      <c r="P40" s="16"/>
      <c r="Q40" s="19">
        <f t="shared" ca="1" si="25"/>
        <v>5.9639139646519977E-2</v>
      </c>
      <c r="R40" s="16"/>
      <c r="S40" s="16">
        <f t="shared" ca="1" si="3"/>
        <v>20000</v>
      </c>
      <c r="T40" s="19">
        <f t="shared" ca="1" si="26"/>
        <v>2.0999999999999999E-3</v>
      </c>
      <c r="U40" s="35"/>
      <c r="V40" s="30">
        <f t="shared" si="4"/>
        <v>0.7</v>
      </c>
      <c r="W40" s="16">
        <f t="shared" si="5"/>
        <v>9046113</v>
      </c>
      <c r="X40" s="16"/>
      <c r="Y40" s="16">
        <f t="shared" si="6"/>
        <v>1</v>
      </c>
      <c r="Z40" s="16">
        <f t="shared" si="7"/>
        <v>5</v>
      </c>
      <c r="AA40" s="16">
        <f t="shared" si="8"/>
        <v>2</v>
      </c>
      <c r="AB40" s="16"/>
      <c r="AC40" s="16">
        <f t="shared" si="9"/>
        <v>10001</v>
      </c>
      <c r="AD40" s="16">
        <f t="shared" si="10"/>
        <v>250005</v>
      </c>
      <c r="AE40" s="16">
        <f t="shared" si="11"/>
        <v>9739994</v>
      </c>
      <c r="AF40" s="16"/>
      <c r="AG40" s="16">
        <f>ROUND(AC40*Desire_severe*(1-SUM($BA$5:$BC39)/Population),0)</f>
        <v>9457</v>
      </c>
      <c r="AH40" s="16">
        <f>ROUND(AD40*Desire_mild*(1-SUM($BA$5:$BC39)/Population),0)</f>
        <v>118199</v>
      </c>
      <c r="AI40" s="16">
        <f>ROUND(AE40*Desire_asy*(1-SUM($BA$5:$BC39)/Population),0)</f>
        <v>184198</v>
      </c>
      <c r="AJ40" s="16"/>
      <c r="AK40" s="16">
        <f t="shared" si="35"/>
        <v>20000</v>
      </c>
      <c r="AL40" s="16">
        <f t="shared" si="41"/>
        <v>20000</v>
      </c>
      <c r="AM40" s="16">
        <f t="shared" si="27"/>
        <v>0</v>
      </c>
      <c r="AN40" s="16"/>
      <c r="AO40" s="16">
        <f t="shared" si="36"/>
        <v>9457</v>
      </c>
      <c r="AP40" s="16">
        <f t="shared" si="37"/>
        <v>10543</v>
      </c>
      <c r="AQ40" s="16">
        <f t="shared" si="28"/>
        <v>0</v>
      </c>
      <c r="AR40" s="16"/>
      <c r="AS40" s="16">
        <f t="shared" si="42"/>
        <v>0</v>
      </c>
      <c r="AT40" s="16">
        <f t="shared" si="42"/>
        <v>107656</v>
      </c>
      <c r="AU40" s="16">
        <f t="shared" si="42"/>
        <v>184198</v>
      </c>
      <c r="AV40" s="16"/>
      <c r="AW40" s="16">
        <f t="shared" si="29"/>
        <v>0</v>
      </c>
      <c r="AX40" s="16">
        <f t="shared" si="15"/>
        <v>0</v>
      </c>
      <c r="AY40" s="16">
        <f t="shared" si="30"/>
        <v>0</v>
      </c>
      <c r="AZ40" s="16"/>
      <c r="BA40" s="16">
        <f t="shared" si="43"/>
        <v>9457</v>
      </c>
      <c r="BB40" s="16">
        <f t="shared" si="43"/>
        <v>10543</v>
      </c>
      <c r="BC40" s="16">
        <f t="shared" si="43"/>
        <v>0</v>
      </c>
      <c r="BD40" s="16"/>
      <c r="BE40" s="20">
        <f t="shared" si="44"/>
        <v>9.9990000999900015E-5</v>
      </c>
      <c r="BF40" s="20">
        <f t="shared" si="44"/>
        <v>1.9999600007999841E-5</v>
      </c>
      <c r="BG40" s="20">
        <f t="shared" si="44"/>
        <v>2.0533893552706502E-7</v>
      </c>
      <c r="BH40" s="16"/>
      <c r="BI40" s="16">
        <f t="shared" si="18"/>
        <v>20</v>
      </c>
      <c r="BJ40" s="16">
        <f t="shared" si="19"/>
        <v>21</v>
      </c>
      <c r="BK40" s="16">
        <f t="shared" si="20"/>
        <v>0</v>
      </c>
      <c r="BL40" s="16"/>
      <c r="BM40" s="16">
        <f t="shared" si="33"/>
        <v>41</v>
      </c>
      <c r="BN40" s="22">
        <f t="shared" si="39"/>
        <v>1</v>
      </c>
      <c r="BO40" s="19">
        <f t="shared" si="45"/>
        <v>2.0500000000000002E-3</v>
      </c>
    </row>
    <row r="41" spans="1:67" s="9" customFormat="1" ht="13" customHeight="1" x14ac:dyDescent="0.15">
      <c r="A41" s="15" t="s">
        <v>54</v>
      </c>
      <c r="B41" s="8">
        <v>2</v>
      </c>
      <c r="D41" s="38">
        <f t="shared" si="34"/>
        <v>36</v>
      </c>
      <c r="E41" s="41">
        <f t="shared" si="21"/>
        <v>44011</v>
      </c>
      <c r="F41" s="16"/>
      <c r="G41" s="17" t="str">
        <f t="shared" si="22"/>
        <v/>
      </c>
      <c r="H41" s="40" t="str">
        <f t="shared" si="0"/>
        <v/>
      </c>
      <c r="I41" s="16">
        <f t="shared" si="23"/>
        <v>5</v>
      </c>
      <c r="J41" s="16">
        <f>SUM(I$5:I41)</f>
        <v>953892</v>
      </c>
      <c r="K41" s="16"/>
      <c r="L41" s="18" t="str">
        <f t="shared" ca="1" si="24"/>
        <v/>
      </c>
      <c r="M41" s="40"/>
      <c r="N41" s="16">
        <f t="shared" ref="N41" ca="1" si="46">IF(ISERROR(OFFSET(BM41,-Delay,0)*1),0,OFFSET(BM41,-Delay,0))</f>
        <v>41</v>
      </c>
      <c r="O41" s="16">
        <f ca="1">SUM(N$5:N41)</f>
        <v>56930</v>
      </c>
      <c r="P41" s="16"/>
      <c r="Q41" s="19">
        <f t="shared" ca="1" si="25"/>
        <v>5.9681808842091136E-2</v>
      </c>
      <c r="R41" s="16"/>
      <c r="S41" s="16">
        <f t="shared" ca="1" si="3"/>
        <v>20000</v>
      </c>
      <c r="T41" s="19">
        <f t="shared" ca="1" si="26"/>
        <v>2.0500000000000002E-3</v>
      </c>
      <c r="U41" s="35"/>
      <c r="V41" s="30">
        <f t="shared" si="4"/>
        <v>0.7</v>
      </c>
      <c r="W41" s="16">
        <f t="shared" si="5"/>
        <v>9046108</v>
      </c>
      <c r="X41" s="16"/>
      <c r="Y41" s="16">
        <f t="shared" si="6"/>
        <v>1</v>
      </c>
      <c r="Z41" s="16">
        <f t="shared" si="7"/>
        <v>3</v>
      </c>
      <c r="AA41" s="16">
        <f t="shared" si="8"/>
        <v>1</v>
      </c>
      <c r="AB41" s="16"/>
      <c r="AC41" s="16">
        <f t="shared" si="9"/>
        <v>10001</v>
      </c>
      <c r="AD41" s="16">
        <f t="shared" si="10"/>
        <v>250003</v>
      </c>
      <c r="AE41" s="16">
        <f t="shared" si="11"/>
        <v>9739996</v>
      </c>
      <c r="AF41" s="16"/>
      <c r="AG41" s="16">
        <f>ROUND(AC41*Desire_severe*(1-SUM($BA$5:$BC40)/Population),0)</f>
        <v>9437</v>
      </c>
      <c r="AH41" s="16">
        <f>ROUND(AD41*Desire_mild*(1-SUM($BA$5:$BC40)/Population),0)</f>
        <v>117948</v>
      </c>
      <c r="AI41" s="16">
        <f>ROUND(AE41*Desire_asy*(1-SUM($BA$5:$BC40)/Population),0)</f>
        <v>183808</v>
      </c>
      <c r="AJ41" s="16"/>
      <c r="AK41" s="16">
        <f t="shared" si="35"/>
        <v>20000</v>
      </c>
      <c r="AL41" s="16">
        <f t="shared" ref="AL41" si="47">ROUND(AK41*Rationed_tests,0)</f>
        <v>20000</v>
      </c>
      <c r="AM41" s="16">
        <f t="shared" si="27"/>
        <v>0</v>
      </c>
      <c r="AN41" s="16"/>
      <c r="AO41" s="16">
        <f t="shared" si="36"/>
        <v>9437</v>
      </c>
      <c r="AP41" s="16">
        <f t="shared" si="37"/>
        <v>10563</v>
      </c>
      <c r="AQ41" s="16">
        <f t="shared" si="28"/>
        <v>0</v>
      </c>
      <c r="AR41" s="16"/>
      <c r="AS41" s="16">
        <f t="shared" si="42"/>
        <v>0</v>
      </c>
      <c r="AT41" s="16">
        <f t="shared" si="42"/>
        <v>107385</v>
      </c>
      <c r="AU41" s="16">
        <f t="shared" si="42"/>
        <v>183808</v>
      </c>
      <c r="AV41" s="16"/>
      <c r="AW41" s="16">
        <f t="shared" si="29"/>
        <v>0</v>
      </c>
      <c r="AX41" s="16">
        <f t="shared" si="15"/>
        <v>0</v>
      </c>
      <c r="AY41" s="16">
        <f t="shared" si="30"/>
        <v>0</v>
      </c>
      <c r="AZ41" s="16"/>
      <c r="BA41" s="16">
        <f t="shared" si="43"/>
        <v>9437</v>
      </c>
      <c r="BB41" s="16">
        <f t="shared" si="43"/>
        <v>10563</v>
      </c>
      <c r="BC41" s="16">
        <f t="shared" si="43"/>
        <v>0</v>
      </c>
      <c r="BD41" s="16"/>
      <c r="BE41" s="20">
        <f t="shared" si="44"/>
        <v>9.9990000999900015E-5</v>
      </c>
      <c r="BF41" s="20">
        <f t="shared" si="44"/>
        <v>1.1999856001727979E-5</v>
      </c>
      <c r="BG41" s="20">
        <f t="shared" si="44"/>
        <v>1.0266944668149761E-7</v>
      </c>
      <c r="BH41" s="16"/>
      <c r="BI41" s="16">
        <f t="shared" ref="BI41" si="48">ROUND(BA41*BE41*(1-False_negative),0)+ROUND(BA41*(1-BE41)*(False_positive),0)</f>
        <v>20</v>
      </c>
      <c r="BJ41" s="16">
        <f t="shared" ref="BJ41" si="49">ROUND(BB41*BF41*(1-False_negative),0)+ROUND(BB41*(1-BF41)*(False_positive),0)</f>
        <v>21</v>
      </c>
      <c r="BK41" s="16">
        <f t="shared" ref="BK41" si="50">ROUND(BC41*BG41*(1-False_negative),0)+ROUND(BC41*(1-BG41)*(False_positive),0)</f>
        <v>0</v>
      </c>
      <c r="BL41" s="16"/>
      <c r="BM41" s="16">
        <f t="shared" si="33"/>
        <v>41</v>
      </c>
      <c r="BN41" s="22">
        <f t="shared" si="39"/>
        <v>1</v>
      </c>
      <c r="BO41" s="19">
        <f t="shared" si="45"/>
        <v>2.0500000000000002E-3</v>
      </c>
    </row>
    <row r="42" spans="1:67" ht="14" customHeight="1" x14ac:dyDescent="0.15">
      <c r="F42" s="1"/>
      <c r="I42" s="1"/>
      <c r="J42" s="1"/>
      <c r="K42" s="1"/>
      <c r="N42" s="1"/>
      <c r="O42" s="1"/>
      <c r="P42" s="1"/>
      <c r="Q42" s="1"/>
      <c r="R42" s="1"/>
      <c r="S42" s="1"/>
      <c r="T42" s="1"/>
      <c r="U42" s="36"/>
      <c r="V42" s="31"/>
      <c r="W42" s="1"/>
      <c r="X42" s="1"/>
      <c r="AB42" s="1"/>
      <c r="AF42" s="1"/>
      <c r="AJ42" s="1"/>
      <c r="AN42" s="1"/>
      <c r="AR42" s="1"/>
      <c r="AV42" s="1"/>
      <c r="AZ42" s="1"/>
      <c r="BD42" s="1"/>
      <c r="BH42" s="1"/>
      <c r="BL42" s="1"/>
    </row>
    <row r="43" spans="1:67" ht="14" customHeight="1" x14ac:dyDescent="0.15">
      <c r="F43" s="1"/>
      <c r="I43" s="1"/>
      <c r="J43" s="1"/>
      <c r="K43" s="1"/>
      <c r="N43" s="1"/>
      <c r="O43" s="1"/>
      <c r="P43" s="1"/>
      <c r="Q43" s="1"/>
      <c r="R43" s="1"/>
      <c r="S43" s="1"/>
      <c r="T43" s="1"/>
      <c r="U43" s="36"/>
      <c r="V43" s="31"/>
      <c r="W43" s="1"/>
      <c r="X43" s="1"/>
      <c r="AB43" s="1"/>
      <c r="AF43" s="1"/>
      <c r="AJ43" s="1"/>
      <c r="AN43" s="1"/>
      <c r="AR43" s="1"/>
      <c r="AV43" s="1"/>
      <c r="AZ43" s="1"/>
      <c r="BD43" s="1"/>
      <c r="BH43" s="1"/>
      <c r="BL43" s="1"/>
    </row>
    <row r="44" spans="1:67" ht="14" customHeight="1" x14ac:dyDescent="0.15">
      <c r="F44" s="1"/>
      <c r="I44" s="1"/>
      <c r="J44" s="1"/>
      <c r="K44" s="1"/>
      <c r="N44" s="1"/>
      <c r="O44" s="1"/>
      <c r="P44" s="1"/>
      <c r="Q44" s="1"/>
      <c r="R44" s="1"/>
      <c r="S44" s="1"/>
      <c r="T44" s="1"/>
      <c r="U44" s="36"/>
      <c r="V44" s="31"/>
      <c r="W44" s="1"/>
      <c r="X44" s="1"/>
      <c r="AB44" s="1"/>
      <c r="AF44" s="1"/>
      <c r="AJ44" s="1"/>
      <c r="AN44" s="1"/>
      <c r="AR44" s="1"/>
      <c r="AV44" s="1"/>
      <c r="AZ44" s="1"/>
      <c r="BD44" s="1"/>
      <c r="BH44" s="1"/>
      <c r="BL44" s="1"/>
    </row>
    <row r="45" spans="1:67" ht="14" customHeight="1" x14ac:dyDescent="0.15">
      <c r="F45" s="1"/>
      <c r="I45" s="1"/>
      <c r="J45" s="1"/>
      <c r="K45" s="1"/>
      <c r="N45" s="1"/>
      <c r="O45" s="1"/>
      <c r="P45" s="1"/>
      <c r="Q45" s="1"/>
      <c r="R45" s="1"/>
      <c r="S45" s="1"/>
      <c r="T45" s="1"/>
      <c r="U45" s="36"/>
      <c r="V45" s="31"/>
      <c r="W45" s="1"/>
      <c r="X45" s="1"/>
      <c r="AB45" s="1"/>
      <c r="AF45" s="1"/>
      <c r="AJ45" s="1"/>
      <c r="AN45" s="1"/>
      <c r="AR45" s="1"/>
      <c r="AV45" s="1"/>
      <c r="AZ45" s="1"/>
      <c r="BD45" s="1"/>
      <c r="BH45" s="1"/>
      <c r="BL45" s="1"/>
    </row>
    <row r="46" spans="1:67" ht="14" customHeight="1" x14ac:dyDescent="0.15">
      <c r="F46" s="1"/>
      <c r="I46" s="1"/>
      <c r="J46" s="1"/>
      <c r="K46" s="1"/>
      <c r="N46" s="1"/>
      <c r="O46" s="1"/>
      <c r="P46" s="1"/>
      <c r="Q46" s="1"/>
      <c r="R46" s="1"/>
      <c r="S46" s="1"/>
      <c r="T46" s="1"/>
      <c r="U46" s="36"/>
      <c r="V46" s="31"/>
      <c r="W46" s="1"/>
      <c r="X46" s="1"/>
      <c r="AB46" s="1"/>
      <c r="AF46" s="1"/>
      <c r="AJ46" s="1"/>
      <c r="AN46" s="1"/>
      <c r="AR46" s="1"/>
      <c r="AV46" s="1"/>
      <c r="AZ46" s="1"/>
      <c r="BD46" s="1"/>
      <c r="BH46" s="1"/>
      <c r="BL46" s="1"/>
    </row>
    <row r="47" spans="1:67" ht="14" customHeight="1" x14ac:dyDescent="0.15">
      <c r="F47" s="1"/>
      <c r="I47" s="1"/>
      <c r="J47" s="1"/>
      <c r="K47" s="1"/>
      <c r="N47" s="1"/>
      <c r="O47" s="1"/>
      <c r="P47" s="1"/>
      <c r="Q47" s="1"/>
      <c r="R47" s="1"/>
      <c r="S47" s="1"/>
      <c r="T47" s="1"/>
      <c r="U47" s="36"/>
      <c r="V47" s="31"/>
      <c r="W47" s="1"/>
      <c r="X47" s="1"/>
      <c r="AB47" s="1"/>
      <c r="AF47" s="1"/>
      <c r="AJ47" s="1"/>
      <c r="AN47" s="1"/>
      <c r="AR47" s="1"/>
      <c r="AV47" s="1"/>
      <c r="AZ47" s="1"/>
      <c r="BD47" s="1"/>
      <c r="BH47" s="1"/>
      <c r="BL47" s="1"/>
    </row>
    <row r="48" spans="1:67" ht="14" customHeight="1" x14ac:dyDescent="0.15">
      <c r="F48" s="1"/>
      <c r="I48" s="1"/>
      <c r="J48" s="1"/>
      <c r="K48" s="1"/>
      <c r="N48" s="1"/>
      <c r="O48" s="1"/>
      <c r="P48" s="1"/>
      <c r="Q48" s="1"/>
      <c r="R48" s="1"/>
      <c r="S48" s="1"/>
      <c r="T48" s="1"/>
      <c r="U48" s="36"/>
      <c r="V48" s="31"/>
      <c r="W48" s="1"/>
      <c r="X48" s="1"/>
      <c r="AB48" s="1"/>
      <c r="AF48" s="1"/>
      <c r="AJ48" s="1"/>
      <c r="AN48" s="1"/>
      <c r="AR48" s="1"/>
      <c r="AV48" s="1"/>
      <c r="AZ48" s="1"/>
      <c r="BD48" s="1"/>
      <c r="BH48" s="1"/>
      <c r="BL48" s="1"/>
    </row>
    <row r="49" spans="6:64" ht="14" customHeight="1" x14ac:dyDescent="0.15">
      <c r="F49" s="1"/>
      <c r="I49" s="1"/>
      <c r="J49" s="1"/>
      <c r="K49" s="1"/>
      <c r="N49" s="1"/>
      <c r="O49" s="1"/>
      <c r="P49" s="1"/>
      <c r="Q49" s="1"/>
      <c r="R49" s="1"/>
      <c r="S49" s="1"/>
      <c r="T49" s="1"/>
      <c r="U49" s="36"/>
      <c r="V49" s="31"/>
      <c r="W49" s="1"/>
      <c r="X49" s="1"/>
      <c r="AB49" s="1"/>
      <c r="AF49" s="1"/>
      <c r="AJ49" s="1"/>
      <c r="AN49" s="1"/>
      <c r="AR49" s="1"/>
      <c r="AV49" s="1"/>
      <c r="AZ49" s="1"/>
      <c r="BD49" s="1"/>
      <c r="BH49" s="1"/>
      <c r="BL49" s="1"/>
    </row>
    <row r="50" spans="6:64" ht="14" customHeight="1" x14ac:dyDescent="0.15">
      <c r="F50" s="1"/>
      <c r="I50" s="1"/>
      <c r="J50" s="1"/>
      <c r="K50" s="1"/>
      <c r="N50" s="1"/>
      <c r="O50" s="1"/>
      <c r="P50" s="1"/>
      <c r="Q50" s="1"/>
      <c r="R50" s="1"/>
      <c r="S50" s="1"/>
      <c r="T50" s="1"/>
      <c r="U50" s="36"/>
      <c r="V50" s="31"/>
      <c r="W50" s="1"/>
      <c r="X50" s="1"/>
      <c r="AB50" s="1"/>
      <c r="AF50" s="1"/>
      <c r="AJ50" s="1"/>
      <c r="AN50" s="1"/>
      <c r="AR50" s="1"/>
      <c r="AV50" s="1"/>
      <c r="AZ50" s="1"/>
      <c r="BD50" s="1"/>
      <c r="BH50" s="1"/>
      <c r="BL50" s="1"/>
    </row>
    <row r="51" spans="6:64" ht="14" customHeight="1" x14ac:dyDescent="0.15">
      <c r="F51" s="1"/>
      <c r="I51" s="1"/>
      <c r="J51" s="1"/>
      <c r="K51" s="1"/>
      <c r="N51" s="1"/>
      <c r="O51" s="1"/>
      <c r="P51" s="1"/>
      <c r="Q51" s="1"/>
      <c r="R51" s="1"/>
      <c r="S51" s="1"/>
      <c r="T51" s="1"/>
      <c r="U51" s="36"/>
      <c r="V51" s="31"/>
      <c r="W51" s="1"/>
      <c r="X51" s="1"/>
      <c r="AB51" s="1"/>
      <c r="AF51" s="1"/>
      <c r="AJ51" s="1"/>
      <c r="AN51" s="1"/>
      <c r="AR51" s="1"/>
      <c r="AV51" s="1"/>
      <c r="AZ51" s="1"/>
      <c r="BD51" s="1"/>
      <c r="BH51" s="1"/>
      <c r="BL51" s="1"/>
    </row>
    <row r="52" spans="6:64" ht="14" customHeight="1" x14ac:dyDescent="0.15">
      <c r="F52" s="1"/>
      <c r="I52" s="1"/>
      <c r="J52" s="1"/>
      <c r="K52" s="1"/>
      <c r="N52" s="1"/>
      <c r="O52" s="1"/>
      <c r="P52" s="1"/>
      <c r="Q52" s="1"/>
      <c r="R52" s="1"/>
      <c r="S52" s="1"/>
      <c r="T52" s="1"/>
      <c r="U52" s="36"/>
      <c r="V52" s="31"/>
      <c r="W52" s="1"/>
      <c r="X52" s="1"/>
      <c r="AB52" s="1"/>
      <c r="AF52" s="1"/>
      <c r="AJ52" s="1"/>
      <c r="AN52" s="1"/>
      <c r="AR52" s="1"/>
      <c r="AV52" s="1"/>
      <c r="AZ52" s="1"/>
      <c r="BD52" s="1"/>
      <c r="BH52" s="1"/>
      <c r="BL52" s="1"/>
    </row>
    <row r="53" spans="6:64" ht="14" customHeight="1" x14ac:dyDescent="0.15">
      <c r="F53" s="1"/>
      <c r="I53" s="1"/>
      <c r="J53" s="1"/>
      <c r="K53" s="1"/>
      <c r="N53" s="1"/>
      <c r="O53" s="1"/>
      <c r="P53" s="1"/>
      <c r="Q53" s="1"/>
      <c r="R53" s="1"/>
      <c r="S53" s="1"/>
      <c r="T53" s="1"/>
      <c r="U53" s="36"/>
      <c r="V53" s="31"/>
      <c r="W53" s="1"/>
      <c r="X53" s="1"/>
      <c r="AB53" s="1"/>
      <c r="AF53" s="1"/>
      <c r="AJ53" s="1"/>
      <c r="AN53" s="1"/>
      <c r="AR53" s="1"/>
      <c r="AV53" s="1"/>
      <c r="AZ53" s="1"/>
      <c r="BD53" s="1"/>
      <c r="BH53" s="1"/>
      <c r="BL53" s="1"/>
    </row>
    <row r="54" spans="6:64" ht="14" customHeight="1" x14ac:dyDescent="0.15">
      <c r="F54" s="1"/>
      <c r="I54" s="1"/>
      <c r="J54" s="1"/>
      <c r="K54" s="1"/>
      <c r="N54" s="1"/>
      <c r="O54" s="1"/>
      <c r="P54" s="1"/>
      <c r="Q54" s="1"/>
      <c r="R54" s="1"/>
      <c r="S54" s="1"/>
      <c r="T54" s="1"/>
      <c r="U54" s="36"/>
      <c r="V54" s="31"/>
      <c r="W54" s="1"/>
      <c r="X54" s="1"/>
      <c r="AB54" s="1"/>
      <c r="AF54" s="1"/>
      <c r="AJ54" s="1"/>
      <c r="AN54" s="1"/>
      <c r="AR54" s="1"/>
      <c r="AV54" s="1"/>
      <c r="AZ54" s="1"/>
      <c r="BD54" s="1"/>
      <c r="BH54" s="1"/>
      <c r="BL54" s="1"/>
    </row>
    <row r="55" spans="6:64" ht="14" customHeight="1" x14ac:dyDescent="0.15">
      <c r="F55" s="1"/>
      <c r="I55" s="1"/>
      <c r="J55" s="1"/>
      <c r="K55" s="1"/>
      <c r="N55" s="1"/>
      <c r="O55" s="1"/>
      <c r="P55" s="1"/>
      <c r="Q55" s="1"/>
      <c r="R55" s="1"/>
      <c r="S55" s="1"/>
      <c r="T55" s="1"/>
      <c r="U55" s="36"/>
      <c r="V55" s="31"/>
      <c r="W55" s="1"/>
      <c r="X55" s="1"/>
      <c r="AB55" s="1"/>
      <c r="AF55" s="1"/>
      <c r="AJ55" s="1"/>
      <c r="AN55" s="1"/>
      <c r="AR55" s="1"/>
      <c r="AV55" s="1"/>
      <c r="AZ55" s="1"/>
      <c r="BD55" s="1"/>
      <c r="BH55" s="1"/>
      <c r="BL55" s="1"/>
    </row>
    <row r="56" spans="6:64" ht="14" customHeight="1" x14ac:dyDescent="0.15">
      <c r="F56" s="1"/>
      <c r="I56" s="1"/>
      <c r="J56" s="1"/>
      <c r="K56" s="1"/>
      <c r="N56" s="1"/>
      <c r="O56" s="1"/>
      <c r="P56" s="1"/>
      <c r="Q56" s="1"/>
      <c r="R56" s="1"/>
      <c r="S56" s="1"/>
      <c r="T56" s="1"/>
      <c r="U56" s="36"/>
      <c r="V56" s="31"/>
      <c r="W56" s="1"/>
      <c r="X56" s="1"/>
      <c r="AB56" s="1"/>
      <c r="AF56" s="1"/>
      <c r="AJ56" s="1"/>
      <c r="AN56" s="1"/>
      <c r="AR56" s="1"/>
      <c r="AV56" s="1"/>
      <c r="AZ56" s="1"/>
      <c r="BD56" s="1"/>
      <c r="BH56" s="1"/>
      <c r="BL56" s="1"/>
    </row>
    <row r="57" spans="6:64" ht="14" customHeight="1" x14ac:dyDescent="0.15">
      <c r="F57" s="1"/>
      <c r="I57" s="1"/>
      <c r="J57" s="1"/>
      <c r="K57" s="1"/>
      <c r="N57" s="1"/>
      <c r="O57" s="1"/>
      <c r="P57" s="1"/>
      <c r="Q57" s="1"/>
      <c r="R57" s="1"/>
      <c r="S57" s="1"/>
      <c r="T57" s="1"/>
      <c r="U57" s="36"/>
      <c r="V57" s="31"/>
      <c r="W57" s="1"/>
      <c r="X57" s="1"/>
      <c r="AB57" s="1"/>
      <c r="AF57" s="1"/>
      <c r="AJ57" s="1"/>
      <c r="AN57" s="1"/>
      <c r="AR57" s="1"/>
      <c r="AV57" s="1"/>
      <c r="AZ57" s="1"/>
      <c r="BD57" s="1"/>
      <c r="BH57" s="1"/>
      <c r="BL57" s="1"/>
    </row>
    <row r="58" spans="6:64" ht="14" customHeight="1" x14ac:dyDescent="0.15">
      <c r="F58" s="1"/>
      <c r="I58" s="1"/>
      <c r="J58" s="1"/>
      <c r="K58" s="1"/>
      <c r="N58" s="1"/>
      <c r="O58" s="1"/>
      <c r="P58" s="1"/>
      <c r="Q58" s="1"/>
      <c r="R58" s="1"/>
      <c r="S58" s="1"/>
      <c r="T58" s="1"/>
      <c r="U58" s="36"/>
      <c r="V58" s="31"/>
      <c r="W58" s="1"/>
      <c r="X58" s="1"/>
      <c r="AB58" s="1"/>
      <c r="AF58" s="1"/>
      <c r="AJ58" s="1"/>
      <c r="AN58" s="1"/>
      <c r="AR58" s="1"/>
      <c r="AV58" s="1"/>
      <c r="AZ58" s="1"/>
      <c r="BD58" s="1"/>
      <c r="BH58" s="1"/>
      <c r="BL58" s="1"/>
    </row>
    <row r="59" spans="6:64" ht="14" customHeight="1" x14ac:dyDescent="0.15">
      <c r="F59" s="1"/>
      <c r="I59" s="1"/>
      <c r="J59" s="1"/>
      <c r="K59" s="1"/>
      <c r="N59" s="1"/>
      <c r="O59" s="1"/>
      <c r="P59" s="1"/>
      <c r="Q59" s="1"/>
      <c r="R59" s="1"/>
      <c r="S59" s="1"/>
      <c r="T59" s="1"/>
      <c r="U59" s="36"/>
      <c r="V59" s="31"/>
      <c r="W59" s="1"/>
      <c r="X59" s="1"/>
      <c r="AB59" s="1"/>
      <c r="AF59" s="1"/>
      <c r="AJ59" s="1"/>
      <c r="AN59" s="1"/>
      <c r="AR59" s="1"/>
      <c r="AV59" s="1"/>
      <c r="AZ59" s="1"/>
      <c r="BD59" s="1"/>
      <c r="BH59" s="1"/>
      <c r="BL59" s="1"/>
    </row>
    <row r="60" spans="6:64" ht="14" customHeight="1" x14ac:dyDescent="0.15">
      <c r="F60" s="1"/>
      <c r="I60" s="1"/>
      <c r="J60" s="1"/>
      <c r="K60" s="1"/>
      <c r="N60" s="1"/>
      <c r="O60" s="1"/>
      <c r="P60" s="1"/>
      <c r="Q60" s="1"/>
      <c r="R60" s="1"/>
      <c r="S60" s="1"/>
      <c r="T60" s="1"/>
      <c r="U60" s="36"/>
      <c r="V60" s="31"/>
      <c r="W60" s="1"/>
      <c r="X60" s="1"/>
      <c r="AB60" s="1"/>
      <c r="AF60" s="1"/>
      <c r="AJ60" s="1"/>
      <c r="AN60" s="1"/>
      <c r="AR60" s="1"/>
      <c r="AV60" s="1"/>
      <c r="AZ60" s="1"/>
      <c r="BD60" s="1"/>
      <c r="BH60" s="1"/>
      <c r="BL60" s="1"/>
    </row>
    <row r="61" spans="6:64" ht="14" customHeight="1" x14ac:dyDescent="0.15">
      <c r="F61" s="1"/>
      <c r="I61" s="1"/>
      <c r="J61" s="1"/>
      <c r="K61" s="1"/>
      <c r="N61" s="1"/>
      <c r="O61" s="1"/>
      <c r="P61" s="1"/>
      <c r="Q61" s="1"/>
      <c r="R61" s="1"/>
      <c r="S61" s="1"/>
      <c r="T61" s="1"/>
      <c r="U61" s="36"/>
      <c r="V61" s="31"/>
      <c r="W61" s="1"/>
      <c r="X61" s="1"/>
      <c r="AB61" s="1"/>
      <c r="AF61" s="1"/>
      <c r="AJ61" s="1"/>
      <c r="AN61" s="1"/>
      <c r="AR61" s="1"/>
      <c r="AV61" s="1"/>
      <c r="AZ61" s="1"/>
      <c r="BD61" s="1"/>
      <c r="BH61" s="1"/>
      <c r="BL61" s="1"/>
    </row>
    <row r="62" spans="6:64" ht="14" customHeight="1" x14ac:dyDescent="0.15">
      <c r="F62" s="1"/>
      <c r="I62" s="1"/>
      <c r="J62" s="1"/>
      <c r="K62" s="1"/>
      <c r="N62" s="1"/>
      <c r="O62" s="1"/>
      <c r="P62" s="1"/>
      <c r="Q62" s="1"/>
      <c r="R62" s="1"/>
      <c r="S62" s="1"/>
      <c r="T62" s="1"/>
      <c r="U62" s="36"/>
      <c r="V62" s="31"/>
      <c r="W62" s="1"/>
      <c r="X62" s="1"/>
      <c r="AB62" s="1"/>
      <c r="AF62" s="1"/>
      <c r="AJ62" s="1"/>
      <c r="AN62" s="1"/>
      <c r="AR62" s="1"/>
      <c r="AV62" s="1"/>
      <c r="AZ62" s="1"/>
      <c r="BD62" s="1"/>
      <c r="BH62" s="1"/>
      <c r="BL62" s="1"/>
    </row>
    <row r="63" spans="6:64" ht="14" customHeight="1" x14ac:dyDescent="0.15">
      <c r="F63" s="1"/>
      <c r="I63" s="1"/>
      <c r="J63" s="1"/>
      <c r="K63" s="1"/>
      <c r="N63" s="1"/>
      <c r="O63" s="1"/>
      <c r="P63" s="1"/>
      <c r="Q63" s="1"/>
      <c r="R63" s="1"/>
      <c r="S63" s="1"/>
      <c r="T63" s="1"/>
      <c r="U63" s="36"/>
      <c r="V63" s="31"/>
      <c r="W63" s="1"/>
      <c r="X63" s="1"/>
      <c r="AB63" s="1"/>
      <c r="AF63" s="1"/>
      <c r="AJ63" s="1"/>
      <c r="AN63" s="1"/>
      <c r="AR63" s="1"/>
      <c r="AV63" s="1"/>
      <c r="AZ63" s="1"/>
      <c r="BD63" s="1"/>
      <c r="BH63" s="1"/>
      <c r="BL63" s="1"/>
    </row>
    <row r="64" spans="6:64" ht="14" customHeight="1" x14ac:dyDescent="0.15">
      <c r="F64" s="1"/>
      <c r="I64" s="1"/>
      <c r="J64" s="1"/>
      <c r="K64" s="1"/>
      <c r="N64" s="1"/>
      <c r="O64" s="1"/>
      <c r="P64" s="1"/>
      <c r="Q64" s="1"/>
      <c r="R64" s="1"/>
      <c r="S64" s="1"/>
      <c r="T64" s="1"/>
      <c r="U64" s="36"/>
      <c r="V64" s="31"/>
      <c r="W64" s="1"/>
      <c r="X64" s="1"/>
      <c r="AB64" s="1"/>
      <c r="AF64" s="1"/>
      <c r="AJ64" s="1"/>
      <c r="AN64" s="1"/>
      <c r="AR64" s="1"/>
      <c r="AV64" s="1"/>
      <c r="AZ64" s="1"/>
      <c r="BD64" s="1"/>
      <c r="BH64" s="1"/>
      <c r="BL64" s="1"/>
    </row>
    <row r="65" spans="6:64" ht="14" customHeight="1" x14ac:dyDescent="0.15">
      <c r="F65" s="1"/>
      <c r="I65" s="1"/>
      <c r="J65" s="1"/>
      <c r="K65" s="1"/>
      <c r="N65" s="1"/>
      <c r="O65" s="1"/>
      <c r="P65" s="1"/>
      <c r="Q65" s="1"/>
      <c r="R65" s="1"/>
      <c r="S65" s="1"/>
      <c r="T65" s="1"/>
      <c r="U65" s="36"/>
      <c r="V65" s="31"/>
      <c r="W65" s="1"/>
      <c r="X65" s="1"/>
      <c r="AB65" s="1"/>
      <c r="AF65" s="1"/>
      <c r="AJ65" s="1"/>
      <c r="AN65" s="1"/>
      <c r="AR65" s="1"/>
      <c r="AV65" s="1"/>
      <c r="AZ65" s="1"/>
      <c r="BD65" s="1"/>
      <c r="BH65" s="1"/>
      <c r="BL65" s="1"/>
    </row>
    <row r="66" spans="6:64" ht="14" customHeight="1" x14ac:dyDescent="0.15">
      <c r="F66" s="1"/>
      <c r="I66" s="1"/>
      <c r="J66" s="1"/>
      <c r="K66" s="1"/>
      <c r="N66" s="1"/>
      <c r="O66" s="1"/>
      <c r="P66" s="1"/>
      <c r="Q66" s="1"/>
      <c r="R66" s="1"/>
      <c r="S66" s="1"/>
      <c r="T66" s="1"/>
      <c r="U66" s="36"/>
      <c r="V66" s="31"/>
      <c r="W66" s="1"/>
      <c r="X66" s="1"/>
      <c r="AB66" s="1"/>
      <c r="AF66" s="1"/>
      <c r="AJ66" s="1"/>
      <c r="AN66" s="1"/>
      <c r="AR66" s="1"/>
      <c r="AV66" s="1"/>
      <c r="AZ66" s="1"/>
      <c r="BD66" s="1"/>
      <c r="BH66" s="1"/>
      <c r="BL66" s="1"/>
    </row>
    <row r="67" spans="6:64" ht="14" customHeight="1" x14ac:dyDescent="0.15">
      <c r="F67" s="1"/>
      <c r="I67" s="1"/>
      <c r="J67" s="1"/>
      <c r="K67" s="1"/>
      <c r="N67" s="1"/>
      <c r="O67" s="1"/>
      <c r="P67" s="1"/>
      <c r="Q67" s="1"/>
      <c r="R67" s="1"/>
      <c r="S67" s="1"/>
      <c r="T67" s="1"/>
      <c r="U67" s="36"/>
      <c r="V67" s="31"/>
      <c r="W67" s="1"/>
      <c r="X67" s="1"/>
      <c r="AB67" s="1"/>
      <c r="AF67" s="1"/>
      <c r="AJ67" s="1"/>
      <c r="AN67" s="1"/>
      <c r="AR67" s="1"/>
      <c r="AV67" s="1"/>
      <c r="AZ67" s="1"/>
      <c r="BD67" s="1"/>
      <c r="BH67" s="1"/>
      <c r="BL67" s="1"/>
    </row>
    <row r="68" spans="6:64" ht="14" customHeight="1" x14ac:dyDescent="0.15">
      <c r="F68" s="1"/>
      <c r="I68" s="1"/>
      <c r="J68" s="1"/>
      <c r="K68" s="1"/>
      <c r="N68" s="1"/>
      <c r="O68" s="1"/>
      <c r="P68" s="1"/>
      <c r="Q68" s="1"/>
      <c r="R68" s="1"/>
      <c r="S68" s="1"/>
      <c r="T68" s="1"/>
      <c r="U68" s="36"/>
      <c r="V68" s="31"/>
      <c r="W68" s="1"/>
      <c r="X68" s="1"/>
      <c r="AB68" s="1"/>
      <c r="AF68" s="1"/>
      <c r="AJ68" s="1"/>
      <c r="AN68" s="1"/>
      <c r="AR68" s="1"/>
      <c r="AV68" s="1"/>
      <c r="AZ68" s="1"/>
      <c r="BD68" s="1"/>
      <c r="BH68" s="1"/>
      <c r="BL68" s="1"/>
    </row>
    <row r="69" spans="6:64" ht="14" customHeight="1" x14ac:dyDescent="0.15">
      <c r="F69" s="1"/>
      <c r="I69" s="1"/>
      <c r="J69" s="1"/>
      <c r="K69" s="1"/>
      <c r="N69" s="1"/>
      <c r="O69" s="1"/>
      <c r="P69" s="1"/>
      <c r="Q69" s="1"/>
      <c r="R69" s="1"/>
      <c r="S69" s="1"/>
      <c r="T69" s="1"/>
      <c r="U69" s="36"/>
      <c r="V69" s="31"/>
      <c r="W69" s="1"/>
      <c r="X69" s="1"/>
      <c r="AB69" s="1"/>
      <c r="AF69" s="1"/>
      <c r="AJ69" s="1"/>
      <c r="AN69" s="1"/>
      <c r="AR69" s="1"/>
      <c r="AV69" s="1"/>
      <c r="AZ69" s="1"/>
      <c r="BD69" s="1"/>
      <c r="BH69" s="1"/>
      <c r="BL69" s="1"/>
    </row>
    <row r="70" spans="6:64" ht="14" customHeight="1" x14ac:dyDescent="0.15">
      <c r="F70" s="1"/>
      <c r="I70" s="1"/>
      <c r="J70" s="1"/>
      <c r="K70" s="1"/>
      <c r="N70" s="1"/>
      <c r="O70" s="1"/>
      <c r="P70" s="1"/>
      <c r="Q70" s="1"/>
      <c r="R70" s="1"/>
      <c r="S70" s="1"/>
      <c r="T70" s="1"/>
      <c r="U70" s="36"/>
      <c r="V70" s="31"/>
      <c r="W70" s="1"/>
      <c r="X70" s="1"/>
      <c r="AB70" s="1"/>
      <c r="AF70" s="1"/>
      <c r="AJ70" s="1"/>
      <c r="AN70" s="1"/>
      <c r="AR70" s="1"/>
      <c r="AV70" s="1"/>
      <c r="AZ70" s="1"/>
      <c r="BD70" s="1"/>
      <c r="BH70" s="1"/>
      <c r="BL70" s="1"/>
    </row>
    <row r="71" spans="6:64" ht="14" customHeight="1" x14ac:dyDescent="0.15">
      <c r="F71" s="1"/>
      <c r="I71" s="1"/>
      <c r="J71" s="1"/>
      <c r="K71" s="1"/>
      <c r="N71" s="1"/>
      <c r="O71" s="1"/>
      <c r="P71" s="1"/>
      <c r="Q71" s="1"/>
      <c r="R71" s="1"/>
      <c r="S71" s="1"/>
      <c r="T71" s="1"/>
      <c r="U71" s="36"/>
      <c r="V71" s="31"/>
      <c r="W71" s="1"/>
      <c r="X71" s="1"/>
      <c r="AB71" s="1"/>
      <c r="AF71" s="1"/>
      <c r="AJ71" s="1"/>
      <c r="AN71" s="1"/>
      <c r="AR71" s="1"/>
      <c r="AV71" s="1"/>
      <c r="AZ71" s="1"/>
      <c r="BD71" s="1"/>
      <c r="BH71" s="1"/>
      <c r="BL71" s="1"/>
    </row>
    <row r="72" spans="6:64" ht="14" customHeight="1" x14ac:dyDescent="0.15">
      <c r="F72" s="1"/>
      <c r="I72" s="1"/>
      <c r="J72" s="1"/>
      <c r="K72" s="1"/>
      <c r="N72" s="1"/>
      <c r="O72" s="1"/>
      <c r="P72" s="1"/>
      <c r="Q72" s="1"/>
      <c r="R72" s="1"/>
      <c r="S72" s="1"/>
      <c r="T72" s="1"/>
      <c r="U72" s="36"/>
      <c r="V72" s="31"/>
      <c r="W72" s="1"/>
      <c r="X72" s="1"/>
      <c r="AB72" s="1"/>
      <c r="AF72" s="1"/>
      <c r="AJ72" s="1"/>
      <c r="AN72" s="1"/>
      <c r="AR72" s="1"/>
      <c r="AV72" s="1"/>
      <c r="AZ72" s="1"/>
      <c r="BD72" s="1"/>
      <c r="BH72" s="1"/>
      <c r="BL72" s="1"/>
    </row>
    <row r="73" spans="6:64" ht="14" customHeight="1" x14ac:dyDescent="0.15">
      <c r="F73" s="1"/>
      <c r="I73" s="1"/>
      <c r="J73" s="1"/>
      <c r="K73" s="1"/>
      <c r="N73" s="1"/>
      <c r="O73" s="1"/>
      <c r="P73" s="1"/>
      <c r="Q73" s="1"/>
      <c r="R73" s="1"/>
      <c r="S73" s="1"/>
      <c r="T73" s="1"/>
      <c r="U73" s="36"/>
      <c r="V73" s="31"/>
      <c r="W73" s="1"/>
      <c r="X73" s="1"/>
      <c r="AB73" s="1"/>
      <c r="AF73" s="1"/>
      <c r="AJ73" s="1"/>
      <c r="AN73" s="1"/>
      <c r="AR73" s="1"/>
      <c r="AV73" s="1"/>
      <c r="AZ73" s="1"/>
      <c r="BD73" s="1"/>
      <c r="BH73" s="1"/>
      <c r="BL73" s="1"/>
    </row>
    <row r="74" spans="6:64" ht="14" customHeight="1" x14ac:dyDescent="0.15">
      <c r="F74" s="1"/>
      <c r="I74" s="1"/>
      <c r="J74" s="1"/>
      <c r="K74" s="1"/>
      <c r="N74" s="1"/>
      <c r="O74" s="1"/>
      <c r="P74" s="1"/>
      <c r="Q74" s="1"/>
      <c r="R74" s="1"/>
      <c r="S74" s="1"/>
      <c r="T74" s="1"/>
      <c r="U74" s="36"/>
      <c r="V74" s="31"/>
      <c r="W74" s="1"/>
      <c r="X74" s="1"/>
      <c r="AB74" s="1"/>
      <c r="AF74" s="1"/>
      <c r="AJ74" s="1"/>
      <c r="AN74" s="1"/>
      <c r="AR74" s="1"/>
      <c r="AV74" s="1"/>
      <c r="AZ74" s="1"/>
      <c r="BD74" s="1"/>
      <c r="BH74" s="1"/>
      <c r="BL74" s="1"/>
    </row>
    <row r="75" spans="6:64" ht="14" customHeight="1" x14ac:dyDescent="0.15">
      <c r="F75" s="1"/>
      <c r="I75" s="1"/>
      <c r="J75" s="1"/>
      <c r="K75" s="1"/>
      <c r="N75" s="1"/>
      <c r="O75" s="1"/>
      <c r="P75" s="1"/>
      <c r="Q75" s="1"/>
      <c r="R75" s="1"/>
      <c r="S75" s="1"/>
      <c r="T75" s="1"/>
      <c r="U75" s="36"/>
      <c r="V75" s="31"/>
      <c r="W75" s="1"/>
      <c r="X75" s="1"/>
      <c r="AB75" s="1"/>
      <c r="AF75" s="1"/>
      <c r="AJ75" s="1"/>
      <c r="AN75" s="1"/>
      <c r="AR75" s="1"/>
      <c r="AV75" s="1"/>
      <c r="AZ75" s="1"/>
      <c r="BD75" s="1"/>
      <c r="BH75" s="1"/>
      <c r="BL75" s="1"/>
    </row>
    <row r="76" spans="6:64" ht="14" customHeight="1" x14ac:dyDescent="0.15">
      <c r="F76" s="1"/>
      <c r="I76" s="1"/>
      <c r="J76" s="1"/>
      <c r="K76" s="1"/>
      <c r="N76" s="1"/>
      <c r="O76" s="1"/>
      <c r="P76" s="1"/>
      <c r="Q76" s="1"/>
      <c r="R76" s="1"/>
      <c r="S76" s="1"/>
      <c r="T76" s="1"/>
      <c r="U76" s="36"/>
      <c r="V76" s="31"/>
      <c r="W76" s="1"/>
      <c r="X76" s="1"/>
      <c r="AB76" s="1"/>
      <c r="AF76" s="1"/>
      <c r="AJ76" s="1"/>
      <c r="AN76" s="1"/>
      <c r="AR76" s="1"/>
      <c r="AV76" s="1"/>
      <c r="AZ76" s="1"/>
      <c r="BD76" s="1"/>
      <c r="BH76" s="1"/>
      <c r="BL76" s="1"/>
    </row>
    <row r="77" spans="6:64" ht="14" customHeight="1" x14ac:dyDescent="0.15">
      <c r="F77" s="1"/>
      <c r="I77" s="1"/>
      <c r="J77" s="1"/>
      <c r="K77" s="1"/>
      <c r="N77" s="1"/>
      <c r="O77" s="1"/>
      <c r="P77" s="1"/>
      <c r="Q77" s="1"/>
      <c r="R77" s="1"/>
      <c r="S77" s="1"/>
      <c r="T77" s="1"/>
      <c r="U77" s="36"/>
      <c r="V77" s="31"/>
      <c r="W77" s="1"/>
      <c r="X77" s="1"/>
      <c r="AB77" s="1"/>
      <c r="AF77" s="1"/>
      <c r="AJ77" s="1"/>
      <c r="AN77" s="1"/>
      <c r="AR77" s="1"/>
      <c r="AV77" s="1"/>
      <c r="AZ77" s="1"/>
      <c r="BD77" s="1"/>
      <c r="BH77" s="1"/>
      <c r="BL77" s="1"/>
    </row>
    <row r="78" spans="6:64" ht="14" customHeight="1" x14ac:dyDescent="0.15">
      <c r="F78" s="1"/>
      <c r="I78" s="1"/>
      <c r="J78" s="1"/>
      <c r="K78" s="1"/>
      <c r="N78" s="1"/>
      <c r="O78" s="1"/>
      <c r="P78" s="1"/>
      <c r="Q78" s="1"/>
      <c r="R78" s="1"/>
      <c r="S78" s="1"/>
      <c r="T78" s="1"/>
      <c r="U78" s="36"/>
      <c r="V78" s="31"/>
      <c r="W78" s="1"/>
      <c r="X78" s="1"/>
      <c r="AB78" s="1"/>
      <c r="AF78" s="1"/>
      <c r="AJ78" s="1"/>
      <c r="AN78" s="1"/>
      <c r="AR78" s="1"/>
      <c r="AV78" s="1"/>
      <c r="AZ78" s="1"/>
      <c r="BD78" s="1"/>
      <c r="BH78" s="1"/>
      <c r="BL78" s="1"/>
    </row>
  </sheetData>
  <mergeCells count="12">
    <mergeCell ref="BI3:BK3"/>
    <mergeCell ref="G3:J3"/>
    <mergeCell ref="L3:O3"/>
    <mergeCell ref="S3:T3"/>
    <mergeCell ref="Y3:AA3"/>
    <mergeCell ref="AC3:AE3"/>
    <mergeCell ref="AG3:AI3"/>
    <mergeCell ref="AO3:AQ3"/>
    <mergeCell ref="AS3:AU3"/>
    <mergeCell ref="AW3:AY3"/>
    <mergeCell ref="BA3:BC3"/>
    <mergeCell ref="BE3:B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217BC9-2B51-DC41-B0D0-A6C75FFCC27E}">
          <x14:formula1>
            <xm:f>'do not delete'!$B$2:$B$5</xm:f>
          </x14:formula1>
          <xm:sqref>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FEFCF-27F2-B548-A130-667153A0567F}">
  <dimension ref="A1:BO78"/>
  <sheetViews>
    <sheetView zoomScale="99" workbookViewId="0">
      <pane xSplit="3" ySplit="4" topLeftCell="BJ5" activePane="bottomRight" state="frozen"/>
      <selection activeCell="A3" sqref="A3"/>
      <selection pane="topRight" activeCell="A3" sqref="A3"/>
      <selection pane="bottomLeft" activeCell="A3" sqref="A3"/>
      <selection pane="bottomRight" activeCell="BP26" sqref="BP26"/>
    </sheetView>
  </sheetViews>
  <sheetFormatPr baseColWidth="10" defaultColWidth="17.83203125" defaultRowHeight="14" customHeight="1" x14ac:dyDescent="0.15"/>
  <cols>
    <col min="1" max="1" width="49.33203125" style="1" customWidth="1"/>
    <col min="2" max="2" width="16.5" style="3" bestFit="1" customWidth="1"/>
    <col min="3" max="3" width="2.6640625" style="1" customWidth="1"/>
    <col min="4" max="4" width="11.33203125" style="36" customWidth="1"/>
    <col min="5" max="5" width="10.1640625" style="1" customWidth="1"/>
    <col min="6" max="6" width="5.1640625" style="4" customWidth="1"/>
    <col min="7" max="7" width="9.1640625" style="1" customWidth="1"/>
    <col min="8" max="8" width="10.6640625" style="31" customWidth="1"/>
    <col min="9" max="9" width="10.5" style="4" customWidth="1"/>
    <col min="10" max="10" width="11.5" style="4" customWidth="1"/>
    <col min="11" max="11" width="5.1640625" style="4" customWidth="1"/>
    <col min="12" max="12" width="9.1640625" style="1" customWidth="1"/>
    <col min="13" max="13" width="9.1640625" style="31" customWidth="1"/>
    <col min="14" max="15" width="11.83203125" style="4" customWidth="1"/>
    <col min="16" max="16" width="5.1640625" style="4" customWidth="1"/>
    <col min="17" max="17" width="14.1640625" style="4" customWidth="1"/>
    <col min="18" max="18" width="5.1640625" style="4" customWidth="1"/>
    <col min="19" max="19" width="11.1640625" style="4" customWidth="1"/>
    <col min="20" max="20" width="12.1640625" style="4" customWidth="1"/>
    <col min="21" max="21" width="5.1640625" style="32" customWidth="1"/>
    <col min="22" max="22" width="8.33203125" style="27" customWidth="1"/>
    <col min="23" max="23" width="14.1640625" style="2" customWidth="1"/>
    <col min="24" max="24" width="5.1640625" style="4" customWidth="1"/>
    <col min="25" max="27" width="14.33203125" style="4" customWidth="1"/>
    <col min="28" max="28" width="5.1640625" style="4" customWidth="1"/>
    <col min="29" max="31" width="17.83203125" style="4" customWidth="1"/>
    <col min="32" max="32" width="5.1640625" style="4" customWidth="1"/>
    <col min="33" max="35" width="17.83203125" style="1" customWidth="1"/>
    <col min="36" max="36" width="5.1640625" style="4" customWidth="1"/>
    <col min="37" max="39" width="17.83203125" style="1" customWidth="1"/>
    <col min="40" max="40" width="5.1640625" style="4" customWidth="1"/>
    <col min="41" max="43" width="17.83203125" style="1" customWidth="1"/>
    <col min="44" max="44" width="5.1640625" style="4" customWidth="1"/>
    <col min="45" max="47" width="17.83203125" style="1" customWidth="1"/>
    <col min="48" max="48" width="5.1640625" style="4" customWidth="1"/>
    <col min="49" max="51" width="17.83203125" style="1" customWidth="1"/>
    <col min="52" max="52" width="5.1640625" style="4" customWidth="1"/>
    <col min="53" max="55" width="17.83203125" style="1" customWidth="1"/>
    <col min="56" max="56" width="5.1640625" style="4" customWidth="1"/>
    <col min="57" max="59" width="17.83203125" style="1" customWidth="1"/>
    <col min="60" max="60" width="5.1640625" style="4" customWidth="1"/>
    <col min="61" max="63" width="17.83203125" style="1" customWidth="1"/>
    <col min="64" max="64" width="5.1640625" style="4" customWidth="1"/>
    <col min="65" max="65" width="17.83203125" style="1"/>
    <col min="66" max="67" width="17.83203125" style="4"/>
    <col min="68" max="16384" width="17.83203125" style="1"/>
  </cols>
  <sheetData>
    <row r="1" spans="1:67" ht="20" customHeight="1" x14ac:dyDescent="0.2">
      <c r="A1" s="6" t="s">
        <v>58</v>
      </c>
    </row>
    <row r="2" spans="1:67" ht="14" customHeight="1" x14ac:dyDescent="0.15">
      <c r="A2" s="1" t="s">
        <v>63</v>
      </c>
    </row>
    <row r="3" spans="1:67" ht="14" customHeight="1" x14ac:dyDescent="0.2">
      <c r="A3" s="39" t="s">
        <v>36</v>
      </c>
      <c r="F3" s="5"/>
      <c r="G3" s="44" t="s">
        <v>13</v>
      </c>
      <c r="H3" s="44"/>
      <c r="I3" s="45"/>
      <c r="J3" s="45"/>
      <c r="K3" s="5"/>
      <c r="L3" s="44" t="s">
        <v>17</v>
      </c>
      <c r="M3" s="44"/>
      <c r="N3" s="45"/>
      <c r="O3" s="45"/>
      <c r="P3" s="5"/>
      <c r="Q3" s="5"/>
      <c r="R3" s="5"/>
      <c r="S3" s="46" t="s">
        <v>19</v>
      </c>
      <c r="T3" s="46"/>
      <c r="U3" s="33"/>
      <c r="V3" s="28"/>
      <c r="X3" s="5"/>
      <c r="Y3" s="42" t="s">
        <v>21</v>
      </c>
      <c r="Z3" s="47"/>
      <c r="AA3" s="47"/>
      <c r="AB3" s="5"/>
      <c r="AC3" s="42" t="s">
        <v>45</v>
      </c>
      <c r="AD3" s="47"/>
      <c r="AE3" s="47"/>
      <c r="AF3" s="5"/>
      <c r="AG3" s="42" t="s">
        <v>22</v>
      </c>
      <c r="AH3" s="47"/>
      <c r="AI3" s="47"/>
      <c r="AJ3" s="5"/>
      <c r="AN3" s="5"/>
      <c r="AO3" s="42" t="s">
        <v>23</v>
      </c>
      <c r="AP3" s="43"/>
      <c r="AQ3" s="43"/>
      <c r="AR3" s="5"/>
      <c r="AS3" s="42" t="s">
        <v>24</v>
      </c>
      <c r="AT3" s="43"/>
      <c r="AU3" s="43"/>
      <c r="AV3" s="5"/>
      <c r="AW3" s="42" t="s">
        <v>37</v>
      </c>
      <c r="AX3" s="43"/>
      <c r="AY3" s="43"/>
      <c r="AZ3" s="5"/>
      <c r="BA3" s="42" t="s">
        <v>25</v>
      </c>
      <c r="BB3" s="43"/>
      <c r="BC3" s="43"/>
      <c r="BD3" s="5"/>
      <c r="BE3" s="42" t="s">
        <v>26</v>
      </c>
      <c r="BF3" s="43"/>
      <c r="BG3" s="43"/>
      <c r="BH3" s="5"/>
      <c r="BI3" s="42" t="s">
        <v>27</v>
      </c>
      <c r="BJ3" s="43"/>
      <c r="BK3" s="43"/>
      <c r="BL3" s="5"/>
    </row>
    <row r="4" spans="1:67" s="9" customFormat="1" ht="61" customHeight="1" x14ac:dyDescent="0.15">
      <c r="A4" s="7" t="s">
        <v>0</v>
      </c>
      <c r="B4" s="8"/>
      <c r="D4" s="37" t="s">
        <v>47</v>
      </c>
      <c r="E4" s="10" t="s">
        <v>14</v>
      </c>
      <c r="F4" s="11"/>
      <c r="G4" s="12" t="s">
        <v>64</v>
      </c>
      <c r="H4" s="29" t="s">
        <v>35</v>
      </c>
      <c r="I4" s="12" t="s">
        <v>38</v>
      </c>
      <c r="J4" s="12" t="s">
        <v>39</v>
      </c>
      <c r="K4" s="11"/>
      <c r="L4" s="12" t="s">
        <v>65</v>
      </c>
      <c r="M4" s="29" t="s">
        <v>35</v>
      </c>
      <c r="N4" s="12" t="s">
        <v>40</v>
      </c>
      <c r="O4" s="12" t="s">
        <v>41</v>
      </c>
      <c r="P4" s="11"/>
      <c r="Q4" s="12" t="s">
        <v>18</v>
      </c>
      <c r="R4" s="11"/>
      <c r="S4" s="12" t="s">
        <v>46</v>
      </c>
      <c r="T4" s="12" t="s">
        <v>28</v>
      </c>
      <c r="U4" s="34"/>
      <c r="V4" s="29" t="s">
        <v>30</v>
      </c>
      <c r="W4" s="13" t="s">
        <v>7</v>
      </c>
      <c r="X4" s="11"/>
      <c r="Y4" s="14" t="s">
        <v>15</v>
      </c>
      <c r="Z4" s="14" t="s">
        <v>16</v>
      </c>
      <c r="AA4" s="14" t="s">
        <v>8</v>
      </c>
      <c r="AB4" s="11"/>
      <c r="AC4" s="14" t="s">
        <v>15</v>
      </c>
      <c r="AD4" s="14" t="s">
        <v>16</v>
      </c>
      <c r="AE4" s="14" t="s">
        <v>8</v>
      </c>
      <c r="AF4" s="11"/>
      <c r="AG4" s="14" t="s">
        <v>15</v>
      </c>
      <c r="AH4" s="14" t="s">
        <v>16</v>
      </c>
      <c r="AI4" s="14" t="s">
        <v>8</v>
      </c>
      <c r="AJ4" s="11"/>
      <c r="AK4" s="14" t="s">
        <v>9</v>
      </c>
      <c r="AL4" s="14" t="s">
        <v>10</v>
      </c>
      <c r="AM4" s="14" t="s">
        <v>11</v>
      </c>
      <c r="AN4" s="11"/>
      <c r="AO4" s="14" t="s">
        <v>15</v>
      </c>
      <c r="AP4" s="14" t="s">
        <v>16</v>
      </c>
      <c r="AQ4" s="14" t="s">
        <v>8</v>
      </c>
      <c r="AR4" s="11"/>
      <c r="AS4" s="14" t="s">
        <v>15</v>
      </c>
      <c r="AT4" s="14" t="s">
        <v>16</v>
      </c>
      <c r="AU4" s="14" t="s">
        <v>8</v>
      </c>
      <c r="AV4" s="11"/>
      <c r="AW4" s="14" t="s">
        <v>15</v>
      </c>
      <c r="AX4" s="14" t="s">
        <v>16</v>
      </c>
      <c r="AY4" s="14" t="s">
        <v>8</v>
      </c>
      <c r="AZ4" s="11"/>
      <c r="BA4" s="14" t="s">
        <v>15</v>
      </c>
      <c r="BB4" s="14" t="s">
        <v>16</v>
      </c>
      <c r="BC4" s="14" t="s">
        <v>8</v>
      </c>
      <c r="BD4" s="11"/>
      <c r="BE4" s="14" t="s">
        <v>15</v>
      </c>
      <c r="BF4" s="14" t="s">
        <v>16</v>
      </c>
      <c r="BG4" s="14" t="s">
        <v>8</v>
      </c>
      <c r="BH4" s="11"/>
      <c r="BI4" s="14" t="s">
        <v>15</v>
      </c>
      <c r="BJ4" s="14" t="s">
        <v>16</v>
      </c>
      <c r="BK4" s="14" t="s">
        <v>8</v>
      </c>
      <c r="BL4" s="11"/>
      <c r="BM4" s="14" t="s">
        <v>29</v>
      </c>
      <c r="BN4" s="14" t="s">
        <v>70</v>
      </c>
      <c r="BO4" s="14" t="s">
        <v>12</v>
      </c>
    </row>
    <row r="5" spans="1:67" s="9" customFormat="1" ht="13" customHeight="1" x14ac:dyDescent="0.2">
      <c r="A5" s="15" t="s">
        <v>66</v>
      </c>
      <c r="B5" s="8">
        <v>2.7</v>
      </c>
      <c r="D5" s="38">
        <v>0</v>
      </c>
      <c r="E5" s="41">
        <f>Zero_date</f>
        <v>43831</v>
      </c>
      <c r="F5" s="16"/>
      <c r="G5" s="17" t="str">
        <f>IF(OR(I5&lt;10,ISBLANK(I6)),"",I6/I5)</f>
        <v/>
      </c>
      <c r="H5" s="40">
        <f t="shared" ref="H5:H41" si="0">IF(IF(OR(J5=0,ISBLANK(J6)),"",J6/J5)="","",IF(IF(OR(J5=0,ISBLANK(J6)),"",J6/J5)&lt;=1,"∞",Serial*(LN(2)/LN(IF(OR(J5=0,ISBLANK(J6)),"",J6/J5)))))</f>
        <v>2.5</v>
      </c>
      <c r="I5" s="16">
        <f>Initial_cases</f>
        <v>1</v>
      </c>
      <c r="J5" s="16">
        <f>SUM(I$5:I5)</f>
        <v>1</v>
      </c>
      <c r="K5" s="16"/>
      <c r="L5" s="18" t="str">
        <f ca="1">IF(OR(N5&lt;10,ISBLANK(N6)),"",N6/N5)</f>
        <v/>
      </c>
      <c r="M5" s="40" t="str">
        <f t="shared" ref="M5:M40" ca="1" si="1">IF(IF(OR(O5=0,ISBLANK(O6)),"",O6/O5)="","",IF(IF(OR(O5=0,ISBLANK(O6)),"",O6/O5)&lt;=1,"∞",Serial*(LN(2)/LN(IF(OR(O5=0,ISBLANK(O6)),"",O6/O5)))))</f>
        <v/>
      </c>
      <c r="N5" s="16">
        <f t="shared" ref="N5:N40" ca="1" si="2">IF(ISERROR(OFFSET(BM5,-Delay,0)*1),0,OFFSET(BM5,-Delay,0))</f>
        <v>0</v>
      </c>
      <c r="O5" s="16">
        <f ca="1">SUM(N$5:N5)</f>
        <v>0</v>
      </c>
      <c r="P5" s="16"/>
      <c r="Q5" s="19">
        <f ca="1">O5/J5</f>
        <v>0</v>
      </c>
      <c r="R5" s="16"/>
      <c r="S5" s="16">
        <f t="shared" ref="S5:S41" ca="1" si="3">IF(ISERROR(OFFSET(BA5,-Delay,0)+OFFSET(BB5,-Delay,0)+OFFSET(BC5,-Delay,0)),0,OFFSET(BA5,-Delay,0)+OFFSET(BB5,-Delay,0)+OFFSET(BC5,-Delay,0))</f>
        <v>0</v>
      </c>
      <c r="T5" s="19" t="str">
        <f ca="1">IF(S5=0,"",N5/S5)</f>
        <v/>
      </c>
      <c r="U5" s="35"/>
      <c r="V5" s="30">
        <f t="shared" ref="V5:V41" si="4">IF(AND(D5&gt;=Begin_lockdown,Begin_lockdown&lt;&gt;""),Ro_lockdown,IF(AND(D5&gt;=Begin_intermediate,Begin_intermediate&lt;&gt;""),Ro_intermediate,Ro_uncontrolled))</f>
        <v>2.7</v>
      </c>
      <c r="W5" s="16">
        <f t="shared" ref="W5:W41" si="5">Population-J5</f>
        <v>9999999</v>
      </c>
      <c r="X5" s="16"/>
      <c r="Y5" s="16">
        <f t="shared" ref="Y5:Y41" si="6">ROUND(I5*(1-Pct_asy-Pct_mild),0)</f>
        <v>0</v>
      </c>
      <c r="Z5" s="16">
        <f t="shared" ref="Z5:Z41" si="7">ROUND(I5*Pct_mild,0)</f>
        <v>1</v>
      </c>
      <c r="AA5" s="16">
        <f t="shared" ref="AA5:AA41" si="8">I5-Y5-Z5</f>
        <v>0</v>
      </c>
      <c r="AB5" s="16"/>
      <c r="AC5" s="16">
        <f t="shared" ref="AC5:AC41" si="9">ROUND((Population-SUM(Y5:AA5))*(Faux_severe),0)+Y5</f>
        <v>10000</v>
      </c>
      <c r="AD5" s="16">
        <f t="shared" ref="AD5:AD41" si="10">ROUND((Population-SUM(Y5:AA5))*(Faux_mild),0)+Z5</f>
        <v>250001</v>
      </c>
      <c r="AE5" s="16">
        <f t="shared" ref="AE5:AE41" si="11">Population-AC5-AD5</f>
        <v>9739999</v>
      </c>
      <c r="AF5" s="16"/>
      <c r="AG5" s="16">
        <f>ROUND(AC5*Desire_severe,0)</f>
        <v>10000</v>
      </c>
      <c r="AH5" s="16">
        <f>ROUND(AD5*Desire_mild,0)</f>
        <v>125001</v>
      </c>
      <c r="AI5" s="16">
        <f t="shared" ref="AI5" si="12">ROUND(AE5*Desire_asy,0)</f>
        <v>194800</v>
      </c>
      <c r="AJ5" s="16"/>
      <c r="AK5" s="16">
        <v>0</v>
      </c>
      <c r="AL5" s="16">
        <f t="shared" ref="AL5:AL35" si="13">ROUND(AK5*Rationed_tests,0)</f>
        <v>0</v>
      </c>
      <c r="AM5" s="16">
        <f>AK5-AL5</f>
        <v>0</v>
      </c>
      <c r="AN5" s="16"/>
      <c r="AO5" s="16">
        <f>MIN(AL5,AG5)</f>
        <v>0</v>
      </c>
      <c r="AP5" s="16">
        <f>MIN(AH5,AL5-AO5)</f>
        <v>0</v>
      </c>
      <c r="AQ5" s="16">
        <f>MIN(AI5,AL5-AO5-AP5)</f>
        <v>0</v>
      </c>
      <c r="AR5" s="16"/>
      <c r="AS5" s="16">
        <f>AG5-AO5</f>
        <v>10000</v>
      </c>
      <c r="AT5" s="16">
        <f t="shared" ref="AT5" si="14">AH5-AP5</f>
        <v>125001</v>
      </c>
      <c r="AU5" s="16">
        <f t="shared" ref="AU5" si="15">AI5-AQ5</f>
        <v>194800</v>
      </c>
      <c r="AV5" s="16"/>
      <c r="AW5" s="16">
        <f>IF(SUM($AS5:$AU5)=0,0,ROUND($AM5*AS5/SUM($AS5:$AU5),0))</f>
        <v>0</v>
      </c>
      <c r="AX5" s="16">
        <f t="shared" ref="AX5" si="16">IF(SUM($AS5:$AU5)=0,0,ROUND($AM5*AT5/SUM($AS5:$AU5),0))</f>
        <v>0</v>
      </c>
      <c r="AY5" s="16">
        <f>IF(SUM($AS5:$AU5)=0,0,MIN(AU5,AM5-AW5-AX5))</f>
        <v>0</v>
      </c>
      <c r="AZ5" s="16"/>
      <c r="BA5" s="16">
        <f>AW5+AO5</f>
        <v>0</v>
      </c>
      <c r="BB5" s="16">
        <f t="shared" ref="BB5:BC5" si="17">AX5+AP5</f>
        <v>0</v>
      </c>
      <c r="BC5" s="16">
        <f t="shared" si="17"/>
        <v>0</v>
      </c>
      <c r="BD5" s="16"/>
      <c r="BE5" s="20">
        <f>Y5/AC5</f>
        <v>0</v>
      </c>
      <c r="BF5" s="20">
        <f t="shared" ref="BF5:BG5" si="18">Z5/AD5</f>
        <v>3.9999840000639995E-6</v>
      </c>
      <c r="BG5" s="20">
        <f t="shared" si="18"/>
        <v>0</v>
      </c>
      <c r="BH5" s="16"/>
      <c r="BI5" s="16">
        <f t="shared" ref="BI5:BI40" si="19">ROUND(BA5*BE5*(1-False_negative),0)+ROUND(BA5*(1-BE5)*(False_positive),0)</f>
        <v>0</v>
      </c>
      <c r="BJ5" s="16">
        <f t="shared" ref="BJ5:BJ40" si="20">ROUND(BB5*BF5*(1-False_negative),0)+ROUND(BB5*(1-BF5)*(False_positive),0)</f>
        <v>0</v>
      </c>
      <c r="BK5" s="16">
        <f t="shared" ref="BK5:BK40" si="21">ROUND(BC5*BG5*(1-False_negative),0)+ROUND(BC5*(1-BG5)*(False_positive),0)</f>
        <v>0</v>
      </c>
      <c r="BL5" s="16"/>
      <c r="BM5" s="16">
        <f>BI5+BJ5+BK5</f>
        <v>0</v>
      </c>
      <c r="BN5" s="21"/>
      <c r="BO5" s="21"/>
    </row>
    <row r="6" spans="1:67" s="9" customFormat="1" ht="13" customHeight="1" x14ac:dyDescent="0.2">
      <c r="A6" s="15" t="s">
        <v>67</v>
      </c>
      <c r="B6" s="8">
        <v>1.4</v>
      </c>
      <c r="D6" s="38">
        <f>D5+1</f>
        <v>1</v>
      </c>
      <c r="E6" s="41">
        <f t="shared" ref="E6:E41" si="22">E5+Serial</f>
        <v>43836</v>
      </c>
      <c r="F6" s="16"/>
      <c r="G6" s="17" t="str">
        <f t="shared" ref="G6:G41" si="23">IF(OR(I6&lt;10,ISBLANK(I7)),"",I7/I6)</f>
        <v/>
      </c>
      <c r="H6" s="40">
        <f t="shared" si="0"/>
        <v>3.154648767857287</v>
      </c>
      <c r="I6" s="16">
        <f t="shared" ref="I6:I41" si="24">ROUND(W5*(1-(1-((V5*(1-J5/Population)^VLOOKUP(Cluster,Cluster_vlookup,2,0))/Population))^I5),0)</f>
        <v>3</v>
      </c>
      <c r="J6" s="16">
        <f>SUM(I$5:I6)</f>
        <v>4</v>
      </c>
      <c r="K6" s="16"/>
      <c r="L6" s="18" t="str">
        <f t="shared" ref="L6:L41" ca="1" si="25">IF(OR(N6&lt;10,ISBLANK(N7)),"",N7/N6)</f>
        <v/>
      </c>
      <c r="M6" s="40" t="str">
        <f t="shared" ca="1" si="1"/>
        <v/>
      </c>
      <c r="N6" s="16">
        <f t="shared" ca="1" si="2"/>
        <v>0</v>
      </c>
      <c r="O6" s="16">
        <f ca="1">SUM(N$5:N6)</f>
        <v>0</v>
      </c>
      <c r="P6" s="16"/>
      <c r="Q6" s="19">
        <f t="shared" ref="Q6:Q40" ca="1" si="26">O6/J6</f>
        <v>0</v>
      </c>
      <c r="R6" s="16"/>
      <c r="S6" s="16">
        <f t="shared" ca="1" si="3"/>
        <v>0</v>
      </c>
      <c r="T6" s="19" t="str">
        <f t="shared" ref="T6:T40" ca="1" si="27">IF(S6=0,"",N6/S6)</f>
        <v/>
      </c>
      <c r="U6" s="35"/>
      <c r="V6" s="30">
        <f t="shared" si="4"/>
        <v>2.7</v>
      </c>
      <c r="W6" s="16">
        <f t="shared" si="5"/>
        <v>9999996</v>
      </c>
      <c r="X6" s="16"/>
      <c r="Y6" s="16">
        <f t="shared" si="6"/>
        <v>0</v>
      </c>
      <c r="Z6" s="16">
        <f t="shared" si="7"/>
        <v>2</v>
      </c>
      <c r="AA6" s="16">
        <f t="shared" si="8"/>
        <v>1</v>
      </c>
      <c r="AB6" s="16"/>
      <c r="AC6" s="16">
        <f t="shared" si="9"/>
        <v>10000</v>
      </c>
      <c r="AD6" s="16">
        <f t="shared" si="10"/>
        <v>250002</v>
      </c>
      <c r="AE6" s="16">
        <f t="shared" si="11"/>
        <v>9739998</v>
      </c>
      <c r="AF6" s="16"/>
      <c r="AG6" s="16">
        <f>ROUND(AC6*Desire_severe*(1-SUM($BA$5:$BC5)/Population),0)</f>
        <v>10000</v>
      </c>
      <c r="AH6" s="16">
        <f>ROUND(AD6*Desire_mild*(1-SUM($BA$5:$BC5)/Population),0)</f>
        <v>125001</v>
      </c>
      <c r="AI6" s="16">
        <f>ROUND(AE6*Desire_asy*(1-SUM($BA$5:$BC5)/Population),0)</f>
        <v>194800</v>
      </c>
      <c r="AJ6" s="16"/>
      <c r="AK6" s="16">
        <f>Initial_tests</f>
        <v>10000</v>
      </c>
      <c r="AL6" s="16">
        <f t="shared" si="13"/>
        <v>10000</v>
      </c>
      <c r="AM6" s="16">
        <f t="shared" ref="AM6:AM35" si="28">AK6-AL6</f>
        <v>0</v>
      </c>
      <c r="AN6" s="16"/>
      <c r="AO6" s="16">
        <f>MIN(AL6,AG6)</f>
        <v>10000</v>
      </c>
      <c r="AP6" s="16">
        <f>MIN(AH6,AL6-AO6)</f>
        <v>0</v>
      </c>
      <c r="AQ6" s="16">
        <f t="shared" ref="AQ6:AQ41" si="29">MIN(AI6,AL6-AO6-AP6)</f>
        <v>0</v>
      </c>
      <c r="AR6" s="16"/>
      <c r="AS6" s="16">
        <f>AG6-AO6</f>
        <v>0</v>
      </c>
      <c r="AT6" s="16">
        <f t="shared" ref="AT6:AU6" si="30">AH6-AP6</f>
        <v>125001</v>
      </c>
      <c r="AU6" s="16">
        <f t="shared" si="30"/>
        <v>194800</v>
      </c>
      <c r="AV6" s="16"/>
      <c r="AW6" s="16">
        <f t="shared" ref="AW6:AW41" si="31">IF(SUM($AS6:$AU6)=0,0,ROUND($AM6*AS6/SUM($AS6:$AU6),0))</f>
        <v>0</v>
      </c>
      <c r="AX6" s="16">
        <f t="shared" ref="AX6:AX41" si="32">IF(SUM($AS6:$AU6)=0,0,ROUND($AM6*AT6/SUM($AS6:$AU6),0))</f>
        <v>0</v>
      </c>
      <c r="AY6" s="16">
        <f t="shared" ref="AY6:AY41" si="33">IF(SUM($AS6:$AU6)=0,0,MIN(AU6,AM6-AW6-AX6))</f>
        <v>0</v>
      </c>
      <c r="AZ6" s="16"/>
      <c r="BA6" s="16">
        <f t="shared" ref="BA6:BA35" si="34">AW6+AO6</f>
        <v>10000</v>
      </c>
      <c r="BB6" s="16">
        <f t="shared" ref="BB6:BB35" si="35">AX6+AP6</f>
        <v>0</v>
      </c>
      <c r="BC6" s="16">
        <f t="shared" ref="BC6:BC35" si="36">AY6+AQ6</f>
        <v>0</v>
      </c>
      <c r="BD6" s="16"/>
      <c r="BE6" s="20">
        <f t="shared" ref="BE6:BE35" si="37">Y6/AC6</f>
        <v>0</v>
      </c>
      <c r="BF6" s="20">
        <f t="shared" ref="BF6:BF35" si="38">Z6/AD6</f>
        <v>7.9999360005119954E-6</v>
      </c>
      <c r="BG6" s="20">
        <f t="shared" ref="BG6:BG35" si="39">AA6/AE6</f>
        <v>1.0266942559947138E-7</v>
      </c>
      <c r="BH6" s="16"/>
      <c r="BI6" s="16">
        <f t="shared" si="19"/>
        <v>20</v>
      </c>
      <c r="BJ6" s="16">
        <f t="shared" si="20"/>
        <v>0</v>
      </c>
      <c r="BK6" s="16">
        <f t="shared" si="21"/>
        <v>0</v>
      </c>
      <c r="BL6" s="16"/>
      <c r="BM6" s="16">
        <f t="shared" ref="BM6:BM35" si="40">BI6+BJ6+BK6</f>
        <v>20</v>
      </c>
      <c r="BN6" s="21" t="str">
        <f>IF(BM5=0,"",BM6/BM5)</f>
        <v/>
      </c>
      <c r="BO6" s="21"/>
    </row>
    <row r="7" spans="1:67" s="9" customFormat="1" ht="13" customHeight="1" x14ac:dyDescent="0.2">
      <c r="A7" s="15" t="s">
        <v>68</v>
      </c>
      <c r="B7" s="8">
        <v>0.7</v>
      </c>
      <c r="D7" s="38">
        <f t="shared" ref="D7:D35" si="41">D6+1</f>
        <v>2</v>
      </c>
      <c r="E7" s="41">
        <f t="shared" si="22"/>
        <v>43841</v>
      </c>
      <c r="F7" s="16"/>
      <c r="G7" s="17" t="str">
        <f t="shared" si="23"/>
        <v/>
      </c>
      <c r="H7" s="40">
        <f t="shared" si="0"/>
        <v>3.3277862674154139</v>
      </c>
      <c r="I7" s="16">
        <f t="shared" si="24"/>
        <v>8</v>
      </c>
      <c r="J7" s="16">
        <f>SUM(I$5:I7)</f>
        <v>12</v>
      </c>
      <c r="K7" s="16"/>
      <c r="L7" s="18" t="str">
        <f t="shared" ca="1" si="25"/>
        <v/>
      </c>
      <c r="M7" s="40" t="str">
        <f t="shared" ca="1" si="1"/>
        <v/>
      </c>
      <c r="N7" s="16">
        <f t="shared" ca="1" si="2"/>
        <v>0</v>
      </c>
      <c r="O7" s="16">
        <f ca="1">SUM(N$5:N7)</f>
        <v>0</v>
      </c>
      <c r="P7" s="16"/>
      <c r="Q7" s="19">
        <f t="shared" ca="1" si="26"/>
        <v>0</v>
      </c>
      <c r="R7" s="16"/>
      <c r="S7" s="16">
        <f t="shared" ca="1" si="3"/>
        <v>0</v>
      </c>
      <c r="T7" s="19" t="str">
        <f t="shared" ca="1" si="27"/>
        <v/>
      </c>
      <c r="U7" s="35"/>
      <c r="V7" s="30">
        <f t="shared" si="4"/>
        <v>2.7</v>
      </c>
      <c r="W7" s="16">
        <f t="shared" si="5"/>
        <v>9999988</v>
      </c>
      <c r="X7" s="16"/>
      <c r="Y7" s="16">
        <f t="shared" si="6"/>
        <v>1</v>
      </c>
      <c r="Z7" s="16">
        <f t="shared" si="7"/>
        <v>5</v>
      </c>
      <c r="AA7" s="16">
        <f t="shared" si="8"/>
        <v>2</v>
      </c>
      <c r="AB7" s="16"/>
      <c r="AC7" s="16">
        <f t="shared" si="9"/>
        <v>10001</v>
      </c>
      <c r="AD7" s="16">
        <f t="shared" si="10"/>
        <v>250005</v>
      </c>
      <c r="AE7" s="16">
        <f t="shared" si="11"/>
        <v>9739994</v>
      </c>
      <c r="AF7" s="16"/>
      <c r="AG7" s="16">
        <f>ROUND(AC7*Desire_severe*(1-SUM($BA$5:$BC6)/Population),0)</f>
        <v>9991</v>
      </c>
      <c r="AH7" s="16">
        <f>ROUND(AD7*Desire_mild*(1-SUM($BA$5:$BC6)/Population),0)</f>
        <v>124877</v>
      </c>
      <c r="AI7" s="16">
        <f>ROUND(AE7*Desire_asy*(1-SUM($BA$5:$BC6)/Population),0)</f>
        <v>194605</v>
      </c>
      <c r="AJ7" s="16"/>
      <c r="AK7" s="16">
        <f t="shared" ref="AK7:AK41" si="42">ROUND(IF(D7&gt;=Ramp_period,MIN(Tests_max,AK6*Test_growth_rate+AK6),AK6),0)</f>
        <v>10000</v>
      </c>
      <c r="AL7" s="16">
        <f t="shared" si="13"/>
        <v>10000</v>
      </c>
      <c r="AM7" s="16">
        <f t="shared" si="28"/>
        <v>0</v>
      </c>
      <c r="AN7" s="16"/>
      <c r="AO7" s="16">
        <f t="shared" ref="AO7:AO35" si="43">MIN(AL7,AG7)</f>
        <v>9991</v>
      </c>
      <c r="AP7" s="16">
        <f t="shared" ref="AP7:AP35" si="44">MIN(AH7,AL7-AO7)</f>
        <v>9</v>
      </c>
      <c r="AQ7" s="16">
        <f t="shared" si="29"/>
        <v>0</v>
      </c>
      <c r="AR7" s="16"/>
      <c r="AS7" s="16">
        <f t="shared" ref="AS7:AS35" si="45">AG7-AO7</f>
        <v>0</v>
      </c>
      <c r="AT7" s="16">
        <f t="shared" ref="AT7:AT35" si="46">AH7-AP7</f>
        <v>124868</v>
      </c>
      <c r="AU7" s="16">
        <f t="shared" ref="AU7:AU35" si="47">AI7-AQ7</f>
        <v>194605</v>
      </c>
      <c r="AV7" s="16"/>
      <c r="AW7" s="16">
        <f t="shared" si="31"/>
        <v>0</v>
      </c>
      <c r="AX7" s="16">
        <f t="shared" si="32"/>
        <v>0</v>
      </c>
      <c r="AY7" s="16">
        <f t="shared" si="33"/>
        <v>0</v>
      </c>
      <c r="AZ7" s="16"/>
      <c r="BA7" s="16">
        <f t="shared" si="34"/>
        <v>9991</v>
      </c>
      <c r="BB7" s="16">
        <f t="shared" si="35"/>
        <v>9</v>
      </c>
      <c r="BC7" s="16">
        <f t="shared" si="36"/>
        <v>0</v>
      </c>
      <c r="BD7" s="16"/>
      <c r="BE7" s="20">
        <f t="shared" si="37"/>
        <v>9.9990000999900015E-5</v>
      </c>
      <c r="BF7" s="20">
        <f t="shared" si="38"/>
        <v>1.9999600007999841E-5</v>
      </c>
      <c r="BG7" s="20">
        <f t="shared" si="39"/>
        <v>2.0533893552706502E-7</v>
      </c>
      <c r="BH7" s="16"/>
      <c r="BI7" s="16">
        <f t="shared" si="19"/>
        <v>21</v>
      </c>
      <c r="BJ7" s="16">
        <f t="shared" si="20"/>
        <v>0</v>
      </c>
      <c r="BK7" s="16">
        <f t="shared" si="21"/>
        <v>0</v>
      </c>
      <c r="BL7" s="16"/>
      <c r="BM7" s="16">
        <f t="shared" si="40"/>
        <v>21</v>
      </c>
      <c r="BN7" s="22">
        <f t="shared" ref="BN7:BN40" si="48">IF(BM6=0,"",BM7/BM6)</f>
        <v>1.05</v>
      </c>
      <c r="BO7" s="19">
        <f>BM7/SUM(BA7:BC7)</f>
        <v>2.0999999999999999E-3</v>
      </c>
    </row>
    <row r="8" spans="1:67" s="9" customFormat="1" ht="13" customHeight="1" x14ac:dyDescent="0.2">
      <c r="A8" s="15" t="s">
        <v>69</v>
      </c>
      <c r="B8" s="8" t="s">
        <v>32</v>
      </c>
      <c r="D8" s="38">
        <f t="shared" si="41"/>
        <v>3</v>
      </c>
      <c r="E8" s="41">
        <f t="shared" si="22"/>
        <v>43846</v>
      </c>
      <c r="F8" s="16"/>
      <c r="G8" s="17">
        <f t="shared" si="23"/>
        <v>2.6818181818181817</v>
      </c>
      <c r="H8" s="40">
        <f t="shared" si="0"/>
        <v>3.4442473519370203</v>
      </c>
      <c r="I8" s="16">
        <f t="shared" si="24"/>
        <v>22</v>
      </c>
      <c r="J8" s="16">
        <f>SUM(I$5:I8)</f>
        <v>34</v>
      </c>
      <c r="K8" s="16"/>
      <c r="L8" s="18">
        <f t="shared" ca="1" si="25"/>
        <v>1.05</v>
      </c>
      <c r="M8" s="40">
        <f t="shared" ca="1" si="1"/>
        <v>4.8280074967563076</v>
      </c>
      <c r="N8" s="16">
        <f t="shared" ca="1" si="2"/>
        <v>20</v>
      </c>
      <c r="O8" s="16">
        <f ca="1">SUM(N$5:N8)</f>
        <v>20</v>
      </c>
      <c r="P8" s="16"/>
      <c r="Q8" s="19">
        <f t="shared" ca="1" si="26"/>
        <v>0.58823529411764708</v>
      </c>
      <c r="R8" s="16"/>
      <c r="S8" s="16">
        <f t="shared" ca="1" si="3"/>
        <v>10000</v>
      </c>
      <c r="T8" s="19">
        <f t="shared" ca="1" si="27"/>
        <v>2E-3</v>
      </c>
      <c r="U8" s="35"/>
      <c r="V8" s="30">
        <f t="shared" si="4"/>
        <v>2.7</v>
      </c>
      <c r="W8" s="16">
        <f t="shared" si="5"/>
        <v>9999966</v>
      </c>
      <c r="X8" s="16"/>
      <c r="Y8" s="16">
        <f t="shared" si="6"/>
        <v>2</v>
      </c>
      <c r="Z8" s="16">
        <f t="shared" si="7"/>
        <v>13</v>
      </c>
      <c r="AA8" s="16">
        <f t="shared" si="8"/>
        <v>7</v>
      </c>
      <c r="AB8" s="16"/>
      <c r="AC8" s="16">
        <f t="shared" si="9"/>
        <v>10002</v>
      </c>
      <c r="AD8" s="16">
        <f t="shared" si="10"/>
        <v>250012</v>
      </c>
      <c r="AE8" s="16">
        <f t="shared" si="11"/>
        <v>9739986</v>
      </c>
      <c r="AF8" s="16"/>
      <c r="AG8" s="16">
        <f>ROUND(AC8*Desire_severe*(1-SUM($BA$5:$BC7)/Population),0)</f>
        <v>9982</v>
      </c>
      <c r="AH8" s="16">
        <f>ROUND(AD8*Desire_mild*(1-SUM($BA$5:$BC7)/Population),0)</f>
        <v>124756</v>
      </c>
      <c r="AI8" s="16">
        <f>ROUND(AE8*Desire_asy*(1-SUM($BA$5:$BC7)/Population),0)</f>
        <v>194410</v>
      </c>
      <c r="AJ8" s="16"/>
      <c r="AK8" s="16">
        <f t="shared" si="42"/>
        <v>10000</v>
      </c>
      <c r="AL8" s="16">
        <f t="shared" si="13"/>
        <v>10000</v>
      </c>
      <c r="AM8" s="16">
        <f t="shared" si="28"/>
        <v>0</v>
      </c>
      <c r="AN8" s="16"/>
      <c r="AO8" s="16">
        <f t="shared" si="43"/>
        <v>9982</v>
      </c>
      <c r="AP8" s="16">
        <f t="shared" si="44"/>
        <v>18</v>
      </c>
      <c r="AQ8" s="16">
        <f t="shared" si="29"/>
        <v>0</v>
      </c>
      <c r="AR8" s="16"/>
      <c r="AS8" s="16">
        <f t="shared" si="45"/>
        <v>0</v>
      </c>
      <c r="AT8" s="16">
        <f t="shared" si="46"/>
        <v>124738</v>
      </c>
      <c r="AU8" s="16">
        <f t="shared" si="47"/>
        <v>194410</v>
      </c>
      <c r="AV8" s="16"/>
      <c r="AW8" s="16">
        <f t="shared" si="31"/>
        <v>0</v>
      </c>
      <c r="AX8" s="16">
        <f t="shared" si="32"/>
        <v>0</v>
      </c>
      <c r="AY8" s="16">
        <f t="shared" si="33"/>
        <v>0</v>
      </c>
      <c r="AZ8" s="16"/>
      <c r="BA8" s="16">
        <f t="shared" si="34"/>
        <v>9982</v>
      </c>
      <c r="BB8" s="16">
        <f t="shared" si="35"/>
        <v>18</v>
      </c>
      <c r="BC8" s="16">
        <f t="shared" si="36"/>
        <v>0</v>
      </c>
      <c r="BD8" s="16"/>
      <c r="BE8" s="20">
        <f t="shared" si="37"/>
        <v>1.9996000799840031E-4</v>
      </c>
      <c r="BF8" s="20">
        <f t="shared" si="38"/>
        <v>5.1997504119802249E-5</v>
      </c>
      <c r="BG8" s="20">
        <f t="shared" si="39"/>
        <v>7.1868686464231058E-7</v>
      </c>
      <c r="BH8" s="16"/>
      <c r="BI8" s="16">
        <f t="shared" si="19"/>
        <v>22</v>
      </c>
      <c r="BJ8" s="16">
        <f t="shared" si="20"/>
        <v>0</v>
      </c>
      <c r="BK8" s="16">
        <f t="shared" si="21"/>
        <v>0</v>
      </c>
      <c r="BL8" s="16"/>
      <c r="BM8" s="16">
        <f t="shared" si="40"/>
        <v>22</v>
      </c>
      <c r="BN8" s="22">
        <f t="shared" si="48"/>
        <v>1.0476190476190477</v>
      </c>
      <c r="BO8" s="19">
        <f t="shared" ref="BO8:BO35" si="49">BM8/SUM(BA8:BC8)</f>
        <v>2.2000000000000001E-3</v>
      </c>
    </row>
    <row r="9" spans="1:67" s="9" customFormat="1" ht="13" customHeight="1" x14ac:dyDescent="0.15">
      <c r="B9" s="8"/>
      <c r="D9" s="38">
        <f t="shared" si="41"/>
        <v>4</v>
      </c>
      <c r="E9" s="41">
        <f t="shared" si="22"/>
        <v>43851</v>
      </c>
      <c r="F9" s="16"/>
      <c r="G9" s="17">
        <f t="shared" si="23"/>
        <v>2.6949152542372881</v>
      </c>
      <c r="H9" s="40">
        <f t="shared" si="0"/>
        <v>3.476758638000935</v>
      </c>
      <c r="I9" s="16">
        <f t="shared" si="24"/>
        <v>59</v>
      </c>
      <c r="J9" s="16">
        <f>SUM(I$5:I9)</f>
        <v>93</v>
      </c>
      <c r="K9" s="16"/>
      <c r="L9" s="18">
        <f t="shared" ca="1" si="25"/>
        <v>1.0476190476190477</v>
      </c>
      <c r="M9" s="40">
        <f t="shared" ca="1" si="1"/>
        <v>8.0680567191832111</v>
      </c>
      <c r="N9" s="16">
        <f t="shared" ca="1" si="2"/>
        <v>21</v>
      </c>
      <c r="O9" s="16">
        <f ca="1">SUM(N$5:N9)</f>
        <v>41</v>
      </c>
      <c r="P9" s="16"/>
      <c r="Q9" s="19">
        <f t="shared" ca="1" si="26"/>
        <v>0.44086021505376344</v>
      </c>
      <c r="R9" s="16"/>
      <c r="S9" s="16">
        <f t="shared" ca="1" si="3"/>
        <v>10000</v>
      </c>
      <c r="T9" s="19">
        <f t="shared" ca="1" si="27"/>
        <v>2.0999999999999999E-3</v>
      </c>
      <c r="U9" s="35"/>
      <c r="V9" s="30">
        <f t="shared" si="4"/>
        <v>2.7</v>
      </c>
      <c r="W9" s="16">
        <f t="shared" si="5"/>
        <v>9999907</v>
      </c>
      <c r="X9" s="16"/>
      <c r="Y9" s="16">
        <f t="shared" si="6"/>
        <v>6</v>
      </c>
      <c r="Z9" s="16">
        <f t="shared" si="7"/>
        <v>35</v>
      </c>
      <c r="AA9" s="16">
        <f t="shared" si="8"/>
        <v>18</v>
      </c>
      <c r="AB9" s="16"/>
      <c r="AC9" s="16">
        <f t="shared" si="9"/>
        <v>10006</v>
      </c>
      <c r="AD9" s="16">
        <f t="shared" si="10"/>
        <v>250034</v>
      </c>
      <c r="AE9" s="16">
        <f t="shared" si="11"/>
        <v>9739960</v>
      </c>
      <c r="AF9" s="16"/>
      <c r="AG9" s="16">
        <f>ROUND(AC9*Desire_severe*(1-SUM($BA$5:$BC8)/Population),0)</f>
        <v>9976</v>
      </c>
      <c r="AH9" s="16">
        <f>ROUND(AD9*Desire_mild*(1-SUM($BA$5:$BC8)/Population),0)</f>
        <v>124642</v>
      </c>
      <c r="AI9" s="16">
        <f>ROUND(AE9*Desire_asy*(1-SUM($BA$5:$BC8)/Population),0)</f>
        <v>194215</v>
      </c>
      <c r="AJ9" s="16"/>
      <c r="AK9" s="16">
        <f t="shared" si="42"/>
        <v>10000</v>
      </c>
      <c r="AL9" s="16">
        <f t="shared" si="13"/>
        <v>10000</v>
      </c>
      <c r="AM9" s="16">
        <f t="shared" si="28"/>
        <v>0</v>
      </c>
      <c r="AN9" s="16"/>
      <c r="AO9" s="16">
        <f t="shared" si="43"/>
        <v>9976</v>
      </c>
      <c r="AP9" s="16">
        <f t="shared" si="44"/>
        <v>24</v>
      </c>
      <c r="AQ9" s="16">
        <f t="shared" si="29"/>
        <v>0</v>
      </c>
      <c r="AR9" s="16"/>
      <c r="AS9" s="16">
        <f t="shared" si="45"/>
        <v>0</v>
      </c>
      <c r="AT9" s="16">
        <f t="shared" si="46"/>
        <v>124618</v>
      </c>
      <c r="AU9" s="16">
        <f t="shared" si="47"/>
        <v>194215</v>
      </c>
      <c r="AV9" s="16"/>
      <c r="AW9" s="16">
        <f t="shared" si="31"/>
        <v>0</v>
      </c>
      <c r="AX9" s="16">
        <f t="shared" si="32"/>
        <v>0</v>
      </c>
      <c r="AY9" s="16">
        <f t="shared" si="33"/>
        <v>0</v>
      </c>
      <c r="AZ9" s="16"/>
      <c r="BA9" s="16">
        <f t="shared" si="34"/>
        <v>9976</v>
      </c>
      <c r="BB9" s="16">
        <f t="shared" si="35"/>
        <v>24</v>
      </c>
      <c r="BC9" s="16">
        <f t="shared" si="36"/>
        <v>0</v>
      </c>
      <c r="BD9" s="16"/>
      <c r="BE9" s="20">
        <f t="shared" si="37"/>
        <v>5.9964021587047766E-4</v>
      </c>
      <c r="BF9" s="20">
        <f t="shared" si="38"/>
        <v>1.3998096258908789E-4</v>
      </c>
      <c r="BG9" s="20">
        <f t="shared" si="39"/>
        <v>1.8480568708701063E-6</v>
      </c>
      <c r="BH9" s="16"/>
      <c r="BI9" s="16">
        <f t="shared" si="19"/>
        <v>26</v>
      </c>
      <c r="BJ9" s="16">
        <f t="shared" si="20"/>
        <v>0</v>
      </c>
      <c r="BK9" s="16">
        <f t="shared" si="21"/>
        <v>0</v>
      </c>
      <c r="BL9" s="16"/>
      <c r="BM9" s="16">
        <f t="shared" si="40"/>
        <v>26</v>
      </c>
      <c r="BN9" s="22">
        <f t="shared" si="48"/>
        <v>1.1818181818181819</v>
      </c>
      <c r="BO9" s="19">
        <f t="shared" si="49"/>
        <v>2.5999999999999999E-3</v>
      </c>
    </row>
    <row r="10" spans="1:67" s="9" customFormat="1" ht="13" customHeight="1" x14ac:dyDescent="0.15">
      <c r="A10" s="15" t="s">
        <v>60</v>
      </c>
      <c r="B10" s="8">
        <v>11</v>
      </c>
      <c r="D10" s="38">
        <f t="shared" si="41"/>
        <v>5</v>
      </c>
      <c r="E10" s="41">
        <f t="shared" si="22"/>
        <v>43856</v>
      </c>
      <c r="F10" s="16"/>
      <c r="G10" s="17">
        <f t="shared" si="23"/>
        <v>2.6981132075471699</v>
      </c>
      <c r="H10" s="40">
        <f t="shared" si="0"/>
        <v>3.486188609156029</v>
      </c>
      <c r="I10" s="16">
        <f t="shared" si="24"/>
        <v>159</v>
      </c>
      <c r="J10" s="16">
        <f>SUM(I$5:I10)</f>
        <v>252</v>
      </c>
      <c r="K10" s="16"/>
      <c r="L10" s="18">
        <f t="shared" ca="1" si="25"/>
        <v>1.1818181818181819</v>
      </c>
      <c r="M10" s="40">
        <f t="shared" ca="1" si="1"/>
        <v>10.031025813046819</v>
      </c>
      <c r="N10" s="16">
        <f t="shared" ca="1" si="2"/>
        <v>22</v>
      </c>
      <c r="O10" s="16">
        <f ca="1">SUM(N$5:N10)</f>
        <v>63</v>
      </c>
      <c r="P10" s="16"/>
      <c r="Q10" s="19">
        <f t="shared" ca="1" si="26"/>
        <v>0.25</v>
      </c>
      <c r="R10" s="16"/>
      <c r="S10" s="16">
        <f t="shared" ca="1" si="3"/>
        <v>10000</v>
      </c>
      <c r="T10" s="19">
        <f t="shared" ca="1" si="27"/>
        <v>2.2000000000000001E-3</v>
      </c>
      <c r="U10" s="35"/>
      <c r="V10" s="30">
        <f t="shared" si="4"/>
        <v>2.7</v>
      </c>
      <c r="W10" s="16">
        <f t="shared" si="5"/>
        <v>9999748</v>
      </c>
      <c r="X10" s="16"/>
      <c r="Y10" s="16">
        <f t="shared" si="6"/>
        <v>16</v>
      </c>
      <c r="Z10" s="16">
        <f t="shared" si="7"/>
        <v>95</v>
      </c>
      <c r="AA10" s="16">
        <f t="shared" si="8"/>
        <v>48</v>
      </c>
      <c r="AB10" s="16"/>
      <c r="AC10" s="16">
        <f t="shared" si="9"/>
        <v>10016</v>
      </c>
      <c r="AD10" s="16">
        <f t="shared" si="10"/>
        <v>250091</v>
      </c>
      <c r="AE10" s="16">
        <f t="shared" si="11"/>
        <v>9739893</v>
      </c>
      <c r="AF10" s="16"/>
      <c r="AG10" s="16">
        <f>ROUND(AC10*Desire_severe*(1-SUM($BA$5:$BC9)/Population),0)</f>
        <v>9976</v>
      </c>
      <c r="AH10" s="16">
        <f>ROUND(AD10*Desire_mild*(1-SUM($BA$5:$BC9)/Population),0)</f>
        <v>124545</v>
      </c>
      <c r="AI10" s="16">
        <f>ROUND(AE10*Desire_asy*(1-SUM($BA$5:$BC9)/Population),0)</f>
        <v>194019</v>
      </c>
      <c r="AJ10" s="16"/>
      <c r="AK10" s="16">
        <f t="shared" si="42"/>
        <v>10000</v>
      </c>
      <c r="AL10" s="16">
        <f t="shared" si="13"/>
        <v>10000</v>
      </c>
      <c r="AM10" s="16">
        <f t="shared" si="28"/>
        <v>0</v>
      </c>
      <c r="AN10" s="16"/>
      <c r="AO10" s="16">
        <f t="shared" si="43"/>
        <v>9976</v>
      </c>
      <c r="AP10" s="16">
        <f t="shared" si="44"/>
        <v>24</v>
      </c>
      <c r="AQ10" s="16">
        <f t="shared" si="29"/>
        <v>0</v>
      </c>
      <c r="AR10" s="16"/>
      <c r="AS10" s="16">
        <f t="shared" si="45"/>
        <v>0</v>
      </c>
      <c r="AT10" s="16">
        <f t="shared" si="46"/>
        <v>124521</v>
      </c>
      <c r="AU10" s="16">
        <f t="shared" si="47"/>
        <v>194019</v>
      </c>
      <c r="AV10" s="16"/>
      <c r="AW10" s="16">
        <f t="shared" si="31"/>
        <v>0</v>
      </c>
      <c r="AX10" s="16">
        <f t="shared" si="32"/>
        <v>0</v>
      </c>
      <c r="AY10" s="16">
        <f t="shared" si="33"/>
        <v>0</v>
      </c>
      <c r="AZ10" s="16"/>
      <c r="BA10" s="16">
        <f t="shared" si="34"/>
        <v>9976</v>
      </c>
      <c r="BB10" s="16">
        <f t="shared" si="35"/>
        <v>24</v>
      </c>
      <c r="BC10" s="16">
        <f t="shared" si="36"/>
        <v>0</v>
      </c>
      <c r="BD10" s="16"/>
      <c r="BE10" s="20">
        <f t="shared" si="37"/>
        <v>1.5974440894568689E-3</v>
      </c>
      <c r="BF10" s="20">
        <f t="shared" si="38"/>
        <v>3.7986173033015985E-4</v>
      </c>
      <c r="BG10" s="20">
        <f t="shared" si="39"/>
        <v>4.928185556042556E-6</v>
      </c>
      <c r="BH10" s="16"/>
      <c r="BI10" s="16">
        <f t="shared" si="19"/>
        <v>36</v>
      </c>
      <c r="BJ10" s="16">
        <f t="shared" si="20"/>
        <v>0</v>
      </c>
      <c r="BK10" s="16">
        <f t="shared" si="21"/>
        <v>0</v>
      </c>
      <c r="BL10" s="16"/>
      <c r="BM10" s="16">
        <f t="shared" si="40"/>
        <v>36</v>
      </c>
      <c r="BN10" s="22">
        <f t="shared" si="48"/>
        <v>1.3846153846153846</v>
      </c>
      <c r="BO10" s="19">
        <f t="shared" si="49"/>
        <v>3.5999999999999999E-3</v>
      </c>
    </row>
    <row r="11" spans="1:67" s="9" customFormat="1" ht="13" customHeight="1" x14ac:dyDescent="0.15">
      <c r="A11" s="15" t="s">
        <v>61</v>
      </c>
      <c r="B11" s="8">
        <v>19</v>
      </c>
      <c r="D11" s="38">
        <f t="shared" si="41"/>
        <v>6</v>
      </c>
      <c r="E11" s="41">
        <f t="shared" si="22"/>
        <v>43861</v>
      </c>
      <c r="F11" s="16"/>
      <c r="G11" s="17">
        <f t="shared" si="23"/>
        <v>2.6993006993006992</v>
      </c>
      <c r="H11" s="40">
        <f t="shared" si="0"/>
        <v>3.4887093382797691</v>
      </c>
      <c r="I11" s="16">
        <f t="shared" si="24"/>
        <v>429</v>
      </c>
      <c r="J11" s="16">
        <f>SUM(I$5:I11)</f>
        <v>681</v>
      </c>
      <c r="K11" s="16"/>
      <c r="L11" s="18">
        <f t="shared" ca="1" si="25"/>
        <v>1.3846153846153846</v>
      </c>
      <c r="M11" s="40">
        <f t="shared" ca="1" si="1"/>
        <v>10.203022731809968</v>
      </c>
      <c r="N11" s="16">
        <f t="shared" ca="1" si="2"/>
        <v>26</v>
      </c>
      <c r="O11" s="16">
        <f ca="1">SUM(N$5:N11)</f>
        <v>89</v>
      </c>
      <c r="P11" s="16"/>
      <c r="Q11" s="19">
        <f t="shared" ca="1" si="26"/>
        <v>0.13069016152716592</v>
      </c>
      <c r="R11" s="16"/>
      <c r="S11" s="16">
        <f t="shared" ca="1" si="3"/>
        <v>10000</v>
      </c>
      <c r="T11" s="19">
        <f t="shared" ca="1" si="27"/>
        <v>2.5999999999999999E-3</v>
      </c>
      <c r="U11" s="35"/>
      <c r="V11" s="30">
        <f t="shared" si="4"/>
        <v>2.7</v>
      </c>
      <c r="W11" s="16">
        <f t="shared" si="5"/>
        <v>9999319</v>
      </c>
      <c r="X11" s="16"/>
      <c r="Y11" s="16">
        <f t="shared" si="6"/>
        <v>43</v>
      </c>
      <c r="Z11" s="16">
        <f t="shared" si="7"/>
        <v>257</v>
      </c>
      <c r="AA11" s="16">
        <f t="shared" si="8"/>
        <v>129</v>
      </c>
      <c r="AB11" s="16"/>
      <c r="AC11" s="16">
        <f t="shared" si="9"/>
        <v>10043</v>
      </c>
      <c r="AD11" s="16">
        <f t="shared" si="10"/>
        <v>250246</v>
      </c>
      <c r="AE11" s="16">
        <f t="shared" si="11"/>
        <v>9739711</v>
      </c>
      <c r="AF11" s="16"/>
      <c r="AG11" s="16">
        <f>ROUND(AC11*Desire_severe*(1-SUM($BA$5:$BC10)/Population),0)</f>
        <v>9993</v>
      </c>
      <c r="AH11" s="16">
        <f>ROUND(AD11*Desire_mild*(1-SUM($BA$5:$BC10)/Population),0)</f>
        <v>124497</v>
      </c>
      <c r="AI11" s="16">
        <f>ROUND(AE11*Desire_asy*(1-SUM($BA$5:$BC10)/Population),0)</f>
        <v>193820</v>
      </c>
      <c r="AJ11" s="16"/>
      <c r="AK11" s="16">
        <f t="shared" si="42"/>
        <v>10000</v>
      </c>
      <c r="AL11" s="16">
        <f t="shared" si="13"/>
        <v>10000</v>
      </c>
      <c r="AM11" s="16">
        <f t="shared" si="28"/>
        <v>0</v>
      </c>
      <c r="AN11" s="16"/>
      <c r="AO11" s="16">
        <f t="shared" si="43"/>
        <v>9993</v>
      </c>
      <c r="AP11" s="16">
        <f t="shared" si="44"/>
        <v>7</v>
      </c>
      <c r="AQ11" s="16">
        <f t="shared" si="29"/>
        <v>0</v>
      </c>
      <c r="AR11" s="16"/>
      <c r="AS11" s="16">
        <f t="shared" si="45"/>
        <v>0</v>
      </c>
      <c r="AT11" s="16">
        <f t="shared" si="46"/>
        <v>124490</v>
      </c>
      <c r="AU11" s="16">
        <f t="shared" si="47"/>
        <v>193820</v>
      </c>
      <c r="AV11" s="16"/>
      <c r="AW11" s="16">
        <f t="shared" si="31"/>
        <v>0</v>
      </c>
      <c r="AX11" s="16">
        <f t="shared" si="32"/>
        <v>0</v>
      </c>
      <c r="AY11" s="16">
        <f t="shared" si="33"/>
        <v>0</v>
      </c>
      <c r="AZ11" s="16"/>
      <c r="BA11" s="16">
        <f t="shared" si="34"/>
        <v>9993</v>
      </c>
      <c r="BB11" s="16">
        <f t="shared" si="35"/>
        <v>7</v>
      </c>
      <c r="BC11" s="16">
        <f t="shared" si="36"/>
        <v>0</v>
      </c>
      <c r="BD11" s="16"/>
      <c r="BE11" s="20">
        <f t="shared" si="37"/>
        <v>4.2815891665836901E-3</v>
      </c>
      <c r="BF11" s="20">
        <f t="shared" si="38"/>
        <v>1.0269894423886896E-3</v>
      </c>
      <c r="BG11" s="20">
        <f t="shared" si="39"/>
        <v>1.3244746173680102E-5</v>
      </c>
      <c r="BH11" s="16"/>
      <c r="BI11" s="16">
        <f t="shared" si="19"/>
        <v>63</v>
      </c>
      <c r="BJ11" s="16">
        <f t="shared" si="20"/>
        <v>0</v>
      </c>
      <c r="BK11" s="16">
        <f t="shared" si="21"/>
        <v>0</v>
      </c>
      <c r="BL11" s="16"/>
      <c r="BM11" s="16">
        <f t="shared" si="40"/>
        <v>63</v>
      </c>
      <c r="BN11" s="22">
        <f t="shared" si="48"/>
        <v>1.75</v>
      </c>
      <c r="BO11" s="19">
        <f t="shared" si="49"/>
        <v>6.3E-3</v>
      </c>
    </row>
    <row r="12" spans="1:67" s="9" customFormat="1" ht="13" customHeight="1" x14ac:dyDescent="0.15">
      <c r="A12" s="15"/>
      <c r="B12" s="8"/>
      <c r="D12" s="38">
        <f t="shared" si="41"/>
        <v>7</v>
      </c>
      <c r="E12" s="41">
        <f t="shared" si="22"/>
        <v>43866</v>
      </c>
      <c r="F12" s="16"/>
      <c r="G12" s="17">
        <f t="shared" si="23"/>
        <v>2.6986183074265977</v>
      </c>
      <c r="H12" s="40">
        <f t="shared" si="0"/>
        <v>3.4902024955056548</v>
      </c>
      <c r="I12" s="16">
        <f t="shared" si="24"/>
        <v>1158</v>
      </c>
      <c r="J12" s="16">
        <f>SUM(I$5:I12)</f>
        <v>1839</v>
      </c>
      <c r="K12" s="16"/>
      <c r="L12" s="18">
        <f t="shared" ca="1" si="25"/>
        <v>1.75</v>
      </c>
      <c r="M12" s="40">
        <f t="shared" ca="1" si="1"/>
        <v>8.4917819597481987</v>
      </c>
      <c r="N12" s="16">
        <f t="shared" ca="1" si="2"/>
        <v>36</v>
      </c>
      <c r="O12" s="16">
        <f ca="1">SUM(N$5:N12)</f>
        <v>125</v>
      </c>
      <c r="P12" s="16"/>
      <c r="Q12" s="19">
        <f t="shared" ca="1" si="26"/>
        <v>6.7971723762914632E-2</v>
      </c>
      <c r="R12" s="16"/>
      <c r="S12" s="16">
        <f t="shared" ca="1" si="3"/>
        <v>10000</v>
      </c>
      <c r="T12" s="19">
        <f t="shared" ca="1" si="27"/>
        <v>3.5999999999999999E-3</v>
      </c>
      <c r="U12" s="35"/>
      <c r="V12" s="30">
        <f t="shared" si="4"/>
        <v>2.7</v>
      </c>
      <c r="W12" s="16">
        <f t="shared" si="5"/>
        <v>9998161</v>
      </c>
      <c r="X12" s="16"/>
      <c r="Y12" s="16">
        <f t="shared" si="6"/>
        <v>116</v>
      </c>
      <c r="Z12" s="16">
        <f t="shared" si="7"/>
        <v>695</v>
      </c>
      <c r="AA12" s="16">
        <f t="shared" si="8"/>
        <v>347</v>
      </c>
      <c r="AB12" s="16"/>
      <c r="AC12" s="16">
        <f t="shared" si="9"/>
        <v>10115</v>
      </c>
      <c r="AD12" s="16">
        <f t="shared" si="10"/>
        <v>250666</v>
      </c>
      <c r="AE12" s="16">
        <f t="shared" si="11"/>
        <v>9739219</v>
      </c>
      <c r="AF12" s="16"/>
      <c r="AG12" s="16">
        <f>ROUND(AC12*Desire_severe*(1-SUM($BA$5:$BC11)/Population),0)</f>
        <v>10054</v>
      </c>
      <c r="AH12" s="16">
        <f>ROUND(AD12*Desire_mild*(1-SUM($BA$5:$BC11)/Population),0)</f>
        <v>124581</v>
      </c>
      <c r="AI12" s="16">
        <f>ROUND(AE12*Desire_asy*(1-SUM($BA$5:$BC11)/Population),0)</f>
        <v>193616</v>
      </c>
      <c r="AJ12" s="16"/>
      <c r="AK12" s="16">
        <f t="shared" si="42"/>
        <v>10000</v>
      </c>
      <c r="AL12" s="16">
        <f t="shared" si="13"/>
        <v>10000</v>
      </c>
      <c r="AM12" s="16">
        <f t="shared" si="28"/>
        <v>0</v>
      </c>
      <c r="AN12" s="16"/>
      <c r="AO12" s="16">
        <f t="shared" si="43"/>
        <v>10000</v>
      </c>
      <c r="AP12" s="16">
        <f t="shared" si="44"/>
        <v>0</v>
      </c>
      <c r="AQ12" s="16">
        <f t="shared" si="29"/>
        <v>0</v>
      </c>
      <c r="AR12" s="16"/>
      <c r="AS12" s="16">
        <f t="shared" si="45"/>
        <v>54</v>
      </c>
      <c r="AT12" s="16">
        <f t="shared" si="46"/>
        <v>124581</v>
      </c>
      <c r="AU12" s="16">
        <f t="shared" si="47"/>
        <v>193616</v>
      </c>
      <c r="AV12" s="16"/>
      <c r="AW12" s="16">
        <f t="shared" si="31"/>
        <v>0</v>
      </c>
      <c r="AX12" s="16">
        <f t="shared" si="32"/>
        <v>0</v>
      </c>
      <c r="AY12" s="16">
        <f t="shared" si="33"/>
        <v>0</v>
      </c>
      <c r="AZ12" s="16"/>
      <c r="BA12" s="16">
        <f t="shared" si="34"/>
        <v>10000</v>
      </c>
      <c r="BB12" s="16">
        <f t="shared" si="35"/>
        <v>0</v>
      </c>
      <c r="BC12" s="16">
        <f t="shared" si="36"/>
        <v>0</v>
      </c>
      <c r="BD12" s="16"/>
      <c r="BE12" s="20">
        <f t="shared" si="37"/>
        <v>1.1468116658428076E-2</v>
      </c>
      <c r="BF12" s="20">
        <f t="shared" si="38"/>
        <v>2.7726137569514813E-3</v>
      </c>
      <c r="BG12" s="20">
        <f t="shared" si="39"/>
        <v>3.5629140283219835E-5</v>
      </c>
      <c r="BH12" s="16"/>
      <c r="BI12" s="16">
        <f t="shared" si="19"/>
        <v>135</v>
      </c>
      <c r="BJ12" s="16">
        <f t="shared" si="20"/>
        <v>0</v>
      </c>
      <c r="BK12" s="16">
        <f t="shared" si="21"/>
        <v>0</v>
      </c>
      <c r="BL12" s="16"/>
      <c r="BM12" s="16">
        <f t="shared" si="40"/>
        <v>135</v>
      </c>
      <c r="BN12" s="22">
        <f t="shared" si="48"/>
        <v>2.1428571428571428</v>
      </c>
      <c r="BO12" s="19">
        <f t="shared" si="49"/>
        <v>1.35E-2</v>
      </c>
    </row>
    <row r="13" spans="1:67" s="9" customFormat="1" ht="13" customHeight="1" x14ac:dyDescent="0.15">
      <c r="A13" s="15" t="s">
        <v>42</v>
      </c>
      <c r="B13" s="23">
        <v>0.3</v>
      </c>
      <c r="D13" s="38">
        <f t="shared" si="41"/>
        <v>8</v>
      </c>
      <c r="E13" s="41">
        <f t="shared" si="22"/>
        <v>43871</v>
      </c>
      <c r="F13" s="16"/>
      <c r="G13" s="17">
        <f t="shared" si="23"/>
        <v>2.6969599999999998</v>
      </c>
      <c r="H13" s="40">
        <f t="shared" si="0"/>
        <v>3.4921165862883559</v>
      </c>
      <c r="I13" s="16">
        <f t="shared" si="24"/>
        <v>3125</v>
      </c>
      <c r="J13" s="16">
        <f>SUM(I$5:I13)</f>
        <v>4964</v>
      </c>
      <c r="K13" s="16"/>
      <c r="L13" s="18">
        <f t="shared" ca="1" si="25"/>
        <v>2.1428571428571428</v>
      </c>
      <c r="M13" s="40">
        <f t="shared" ca="1" si="1"/>
        <v>6.4036761977079593</v>
      </c>
      <c r="N13" s="16">
        <f t="shared" ca="1" si="2"/>
        <v>63</v>
      </c>
      <c r="O13" s="16">
        <f ca="1">SUM(N$5:N13)</f>
        <v>188</v>
      </c>
      <c r="P13" s="16"/>
      <c r="Q13" s="19">
        <f t="shared" ca="1" si="26"/>
        <v>3.7872683319903303E-2</v>
      </c>
      <c r="R13" s="16"/>
      <c r="S13" s="16">
        <f t="shared" ca="1" si="3"/>
        <v>10000</v>
      </c>
      <c r="T13" s="19">
        <f t="shared" ca="1" si="27"/>
        <v>6.3E-3</v>
      </c>
      <c r="U13" s="35"/>
      <c r="V13" s="30">
        <f t="shared" si="4"/>
        <v>2.7</v>
      </c>
      <c r="W13" s="16">
        <f t="shared" si="5"/>
        <v>9995036</v>
      </c>
      <c r="X13" s="16"/>
      <c r="Y13" s="16">
        <f t="shared" si="6"/>
        <v>313</v>
      </c>
      <c r="Z13" s="16">
        <f t="shared" si="7"/>
        <v>1875</v>
      </c>
      <c r="AA13" s="16">
        <f t="shared" si="8"/>
        <v>937</v>
      </c>
      <c r="AB13" s="16"/>
      <c r="AC13" s="16">
        <f t="shared" si="9"/>
        <v>10310</v>
      </c>
      <c r="AD13" s="16">
        <f t="shared" si="10"/>
        <v>251797</v>
      </c>
      <c r="AE13" s="16">
        <f t="shared" si="11"/>
        <v>9737893</v>
      </c>
      <c r="AF13" s="16"/>
      <c r="AG13" s="16">
        <f>ROUND(AC13*Desire_severe*(1-SUM($BA$5:$BC12)/Population),0)</f>
        <v>10238</v>
      </c>
      <c r="AH13" s="16">
        <f>ROUND(AD13*Desire_mild*(1-SUM($BA$5:$BC12)/Population),0)</f>
        <v>125017</v>
      </c>
      <c r="AI13" s="16">
        <f>ROUND(AE13*Desire_asy*(1-SUM($BA$5:$BC12)/Population),0)</f>
        <v>193395</v>
      </c>
      <c r="AJ13" s="16"/>
      <c r="AK13" s="16">
        <f t="shared" si="42"/>
        <v>10000</v>
      </c>
      <c r="AL13" s="16">
        <f t="shared" si="13"/>
        <v>10000</v>
      </c>
      <c r="AM13" s="16">
        <f t="shared" si="28"/>
        <v>0</v>
      </c>
      <c r="AN13" s="16"/>
      <c r="AO13" s="16">
        <f t="shared" si="43"/>
        <v>10000</v>
      </c>
      <c r="AP13" s="16">
        <f t="shared" si="44"/>
        <v>0</v>
      </c>
      <c r="AQ13" s="16">
        <f t="shared" si="29"/>
        <v>0</v>
      </c>
      <c r="AR13" s="16"/>
      <c r="AS13" s="16">
        <f t="shared" si="45"/>
        <v>238</v>
      </c>
      <c r="AT13" s="16">
        <f t="shared" si="46"/>
        <v>125017</v>
      </c>
      <c r="AU13" s="16">
        <f t="shared" si="47"/>
        <v>193395</v>
      </c>
      <c r="AV13" s="16"/>
      <c r="AW13" s="16">
        <f t="shared" si="31"/>
        <v>0</v>
      </c>
      <c r="AX13" s="16">
        <f t="shared" si="32"/>
        <v>0</v>
      </c>
      <c r="AY13" s="16">
        <f t="shared" si="33"/>
        <v>0</v>
      </c>
      <c r="AZ13" s="16"/>
      <c r="BA13" s="16">
        <f t="shared" si="34"/>
        <v>10000</v>
      </c>
      <c r="BB13" s="16">
        <f t="shared" si="35"/>
        <v>0</v>
      </c>
      <c r="BC13" s="16">
        <f t="shared" si="36"/>
        <v>0</v>
      </c>
      <c r="BD13" s="16"/>
      <c r="BE13" s="20">
        <f t="shared" si="37"/>
        <v>3.0358874878758487E-2</v>
      </c>
      <c r="BF13" s="20">
        <f t="shared" si="38"/>
        <v>7.4464747395719564E-3</v>
      </c>
      <c r="BG13" s="20">
        <f t="shared" si="39"/>
        <v>9.6222047212882707E-5</v>
      </c>
      <c r="BH13" s="16"/>
      <c r="BI13" s="16">
        <f t="shared" si="19"/>
        <v>323</v>
      </c>
      <c r="BJ13" s="16">
        <f t="shared" si="20"/>
        <v>0</v>
      </c>
      <c r="BK13" s="16">
        <f t="shared" si="21"/>
        <v>0</v>
      </c>
      <c r="BL13" s="16"/>
      <c r="BM13" s="16">
        <f t="shared" si="40"/>
        <v>323</v>
      </c>
      <c r="BN13" s="22">
        <f t="shared" si="48"/>
        <v>2.3925925925925924</v>
      </c>
      <c r="BO13" s="19">
        <f t="shared" si="49"/>
        <v>3.2300000000000002E-2</v>
      </c>
    </row>
    <row r="14" spans="1:67" s="9" customFormat="1" ht="13" customHeight="1" x14ac:dyDescent="0.15">
      <c r="A14" s="15" t="s">
        <v>2</v>
      </c>
      <c r="B14" s="23">
        <v>0.6</v>
      </c>
      <c r="D14" s="38">
        <f t="shared" si="41"/>
        <v>9</v>
      </c>
      <c r="E14" s="41">
        <f t="shared" si="22"/>
        <v>43876</v>
      </c>
      <c r="F14" s="16"/>
      <c r="G14" s="17">
        <f t="shared" si="23"/>
        <v>2.6915045087802563</v>
      </c>
      <c r="H14" s="40">
        <f t="shared" si="0"/>
        <v>3.4973155763405481</v>
      </c>
      <c r="I14" s="16">
        <f t="shared" si="24"/>
        <v>8428</v>
      </c>
      <c r="J14" s="16">
        <f>SUM(I$5:I14)</f>
        <v>13392</v>
      </c>
      <c r="K14" s="16"/>
      <c r="L14" s="18">
        <f t="shared" ca="1" si="25"/>
        <v>2.3925925925925924</v>
      </c>
      <c r="M14" s="40">
        <f t="shared" ca="1" si="1"/>
        <v>5</v>
      </c>
      <c r="N14" s="16">
        <f t="shared" ca="1" si="2"/>
        <v>135</v>
      </c>
      <c r="O14" s="16">
        <f ca="1">SUM(N$5:N14)</f>
        <v>323</v>
      </c>
      <c r="P14" s="16"/>
      <c r="Q14" s="19">
        <f t="shared" ca="1" si="26"/>
        <v>2.4118876941457586E-2</v>
      </c>
      <c r="R14" s="16"/>
      <c r="S14" s="16">
        <f t="shared" ca="1" si="3"/>
        <v>10000</v>
      </c>
      <c r="T14" s="19">
        <f t="shared" ca="1" si="27"/>
        <v>1.35E-2</v>
      </c>
      <c r="U14" s="35"/>
      <c r="V14" s="30">
        <f t="shared" si="4"/>
        <v>2.7</v>
      </c>
      <c r="W14" s="16">
        <f t="shared" si="5"/>
        <v>9986608</v>
      </c>
      <c r="X14" s="16"/>
      <c r="Y14" s="16">
        <f t="shared" si="6"/>
        <v>843</v>
      </c>
      <c r="Z14" s="16">
        <f t="shared" si="7"/>
        <v>5057</v>
      </c>
      <c r="AA14" s="16">
        <f t="shared" si="8"/>
        <v>2528</v>
      </c>
      <c r="AB14" s="16"/>
      <c r="AC14" s="16">
        <f t="shared" si="9"/>
        <v>10835</v>
      </c>
      <c r="AD14" s="16">
        <f t="shared" si="10"/>
        <v>254846</v>
      </c>
      <c r="AE14" s="16">
        <f t="shared" si="11"/>
        <v>9734319</v>
      </c>
      <c r="AF14" s="16"/>
      <c r="AG14" s="16">
        <f>ROUND(AC14*Desire_severe*(1-SUM($BA$5:$BC13)/Population),0)</f>
        <v>10748</v>
      </c>
      <c r="AH14" s="16">
        <f>ROUND(AD14*Desire_mild*(1-SUM($BA$5:$BC13)/Population),0)</f>
        <v>126404</v>
      </c>
      <c r="AI14" s="16">
        <f>ROUND(AE14*Desire_asy*(1-SUM($BA$5:$BC13)/Population),0)</f>
        <v>193129</v>
      </c>
      <c r="AJ14" s="16"/>
      <c r="AK14" s="16">
        <f t="shared" si="42"/>
        <v>10000</v>
      </c>
      <c r="AL14" s="16">
        <f t="shared" si="13"/>
        <v>10000</v>
      </c>
      <c r="AM14" s="16">
        <f t="shared" si="28"/>
        <v>0</v>
      </c>
      <c r="AN14" s="16"/>
      <c r="AO14" s="16">
        <f t="shared" si="43"/>
        <v>10000</v>
      </c>
      <c r="AP14" s="16">
        <f t="shared" si="44"/>
        <v>0</v>
      </c>
      <c r="AQ14" s="16">
        <f t="shared" si="29"/>
        <v>0</v>
      </c>
      <c r="AR14" s="16"/>
      <c r="AS14" s="16">
        <f t="shared" si="45"/>
        <v>748</v>
      </c>
      <c r="AT14" s="16">
        <f t="shared" si="46"/>
        <v>126404</v>
      </c>
      <c r="AU14" s="16">
        <f t="shared" si="47"/>
        <v>193129</v>
      </c>
      <c r="AV14" s="16"/>
      <c r="AW14" s="16">
        <f t="shared" si="31"/>
        <v>0</v>
      </c>
      <c r="AX14" s="16">
        <f t="shared" si="32"/>
        <v>0</v>
      </c>
      <c r="AY14" s="16">
        <f t="shared" si="33"/>
        <v>0</v>
      </c>
      <c r="AZ14" s="16"/>
      <c r="BA14" s="16">
        <f t="shared" si="34"/>
        <v>10000</v>
      </c>
      <c r="BB14" s="16">
        <f t="shared" si="35"/>
        <v>0</v>
      </c>
      <c r="BC14" s="16">
        <f t="shared" si="36"/>
        <v>0</v>
      </c>
      <c r="BD14" s="16"/>
      <c r="BE14" s="20">
        <f t="shared" si="37"/>
        <v>7.7803414859252421E-2</v>
      </c>
      <c r="BF14" s="20">
        <f t="shared" si="38"/>
        <v>1.9843356379931409E-2</v>
      </c>
      <c r="BG14" s="20">
        <f t="shared" si="39"/>
        <v>2.596997283528514E-4</v>
      </c>
      <c r="BH14" s="16"/>
      <c r="BI14" s="16">
        <f t="shared" si="19"/>
        <v>796</v>
      </c>
      <c r="BJ14" s="16">
        <f t="shared" si="20"/>
        <v>0</v>
      </c>
      <c r="BK14" s="16">
        <f t="shared" si="21"/>
        <v>0</v>
      </c>
      <c r="BL14" s="16"/>
      <c r="BM14" s="16">
        <f t="shared" si="40"/>
        <v>796</v>
      </c>
      <c r="BN14" s="22">
        <f t="shared" si="48"/>
        <v>2.4643962848297214</v>
      </c>
      <c r="BO14" s="19">
        <f t="shared" si="49"/>
        <v>7.9600000000000004E-2</v>
      </c>
    </row>
    <row r="15" spans="1:67" s="9" customFormat="1" ht="13" customHeight="1" x14ac:dyDescent="0.15">
      <c r="A15" s="15"/>
      <c r="B15" s="8"/>
      <c r="D15" s="38">
        <f t="shared" si="41"/>
        <v>10</v>
      </c>
      <c r="E15" s="41">
        <f t="shared" si="22"/>
        <v>43881</v>
      </c>
      <c r="F15" s="16"/>
      <c r="G15" s="17">
        <f t="shared" si="23"/>
        <v>2.6772174219714335</v>
      </c>
      <c r="H15" s="40">
        <f t="shared" si="0"/>
        <v>3.5110952097812742</v>
      </c>
      <c r="I15" s="16">
        <f t="shared" si="24"/>
        <v>22684</v>
      </c>
      <c r="J15" s="16">
        <f>SUM(I$5:I15)</f>
        <v>36076</v>
      </c>
      <c r="K15" s="16"/>
      <c r="L15" s="18">
        <f t="shared" ca="1" si="25"/>
        <v>2.4643962848297214</v>
      </c>
      <c r="M15" s="40">
        <f t="shared" ca="1" si="1"/>
        <v>4.3160558082724236</v>
      </c>
      <c r="N15" s="16">
        <f t="shared" ca="1" si="2"/>
        <v>323</v>
      </c>
      <c r="O15" s="16">
        <f ca="1">SUM(N$5:N15)</f>
        <v>646</v>
      </c>
      <c r="P15" s="16"/>
      <c r="Q15" s="19">
        <f t="shared" ca="1" si="26"/>
        <v>1.7906641534538196E-2</v>
      </c>
      <c r="R15" s="16"/>
      <c r="S15" s="16">
        <f t="shared" ca="1" si="3"/>
        <v>10000</v>
      </c>
      <c r="T15" s="19">
        <f t="shared" ca="1" si="27"/>
        <v>3.2300000000000002E-2</v>
      </c>
      <c r="U15" s="35"/>
      <c r="V15" s="30">
        <f t="shared" si="4"/>
        <v>2.7</v>
      </c>
      <c r="W15" s="16">
        <f t="shared" si="5"/>
        <v>9963924</v>
      </c>
      <c r="X15" s="16"/>
      <c r="Y15" s="16">
        <f t="shared" si="6"/>
        <v>2268</v>
      </c>
      <c r="Z15" s="16">
        <f t="shared" si="7"/>
        <v>13610</v>
      </c>
      <c r="AA15" s="16">
        <f t="shared" si="8"/>
        <v>6806</v>
      </c>
      <c r="AB15" s="16"/>
      <c r="AC15" s="16">
        <f t="shared" si="9"/>
        <v>12245</v>
      </c>
      <c r="AD15" s="16">
        <f t="shared" si="10"/>
        <v>263043</v>
      </c>
      <c r="AE15" s="16">
        <f t="shared" si="11"/>
        <v>9724712</v>
      </c>
      <c r="AF15" s="16"/>
      <c r="AG15" s="16">
        <f>ROUND(AC15*Desire_severe*(1-SUM($BA$5:$BC14)/Population),0)</f>
        <v>12135</v>
      </c>
      <c r="AH15" s="16">
        <f>ROUND(AD15*Desire_mild*(1-SUM($BA$5:$BC14)/Population),0)</f>
        <v>130338</v>
      </c>
      <c r="AI15" s="16">
        <f>ROUND(AE15*Desire_asy*(1-SUM($BA$5:$BC14)/Population),0)</f>
        <v>192744</v>
      </c>
      <c r="AJ15" s="16"/>
      <c r="AK15" s="16">
        <f t="shared" si="42"/>
        <v>8000</v>
      </c>
      <c r="AL15" s="16">
        <f t="shared" si="13"/>
        <v>8000</v>
      </c>
      <c r="AM15" s="16">
        <f t="shared" si="28"/>
        <v>0</v>
      </c>
      <c r="AN15" s="16"/>
      <c r="AO15" s="16">
        <f t="shared" si="43"/>
        <v>8000</v>
      </c>
      <c r="AP15" s="16">
        <f t="shared" si="44"/>
        <v>0</v>
      </c>
      <c r="AQ15" s="16">
        <f t="shared" si="29"/>
        <v>0</v>
      </c>
      <c r="AR15" s="16"/>
      <c r="AS15" s="16">
        <f t="shared" si="45"/>
        <v>4135</v>
      </c>
      <c r="AT15" s="16">
        <f t="shared" si="46"/>
        <v>130338</v>
      </c>
      <c r="AU15" s="16">
        <f t="shared" si="47"/>
        <v>192744</v>
      </c>
      <c r="AV15" s="16"/>
      <c r="AW15" s="16">
        <f t="shared" si="31"/>
        <v>0</v>
      </c>
      <c r="AX15" s="16">
        <f t="shared" si="32"/>
        <v>0</v>
      </c>
      <c r="AY15" s="16">
        <f t="shared" si="33"/>
        <v>0</v>
      </c>
      <c r="AZ15" s="16"/>
      <c r="BA15" s="16">
        <f t="shared" si="34"/>
        <v>8000</v>
      </c>
      <c r="BB15" s="16">
        <f t="shared" si="35"/>
        <v>0</v>
      </c>
      <c r="BC15" s="16">
        <f t="shared" si="36"/>
        <v>0</v>
      </c>
      <c r="BD15" s="16"/>
      <c r="BE15" s="20">
        <f t="shared" si="37"/>
        <v>0.18521845651286239</v>
      </c>
      <c r="BF15" s="20">
        <f t="shared" si="38"/>
        <v>5.1740589941568486E-2</v>
      </c>
      <c r="BG15" s="20">
        <f t="shared" si="39"/>
        <v>6.9986648447789503E-4</v>
      </c>
      <c r="BH15" s="16"/>
      <c r="BI15" s="16">
        <f t="shared" si="19"/>
        <v>1495</v>
      </c>
      <c r="BJ15" s="16">
        <f t="shared" si="20"/>
        <v>0</v>
      </c>
      <c r="BK15" s="16">
        <f t="shared" si="21"/>
        <v>0</v>
      </c>
      <c r="BL15" s="16"/>
      <c r="BM15" s="16">
        <f t="shared" si="40"/>
        <v>1495</v>
      </c>
      <c r="BN15" s="22">
        <f t="shared" si="48"/>
        <v>1.8781407035175879</v>
      </c>
      <c r="BO15" s="19">
        <f t="shared" si="49"/>
        <v>0.18687500000000001</v>
      </c>
    </row>
    <row r="16" spans="1:67" s="9" customFormat="1" ht="13" customHeight="1" x14ac:dyDescent="0.15">
      <c r="A16" s="15" t="s">
        <v>55</v>
      </c>
      <c r="B16" s="24">
        <v>43831</v>
      </c>
      <c r="D16" s="38">
        <f t="shared" si="41"/>
        <v>11</v>
      </c>
      <c r="E16" s="41">
        <f t="shared" si="22"/>
        <v>43886</v>
      </c>
      <c r="F16" s="16"/>
      <c r="G16" s="17">
        <f t="shared" si="23"/>
        <v>1.3739008727152973</v>
      </c>
      <c r="H16" s="40">
        <f t="shared" si="0"/>
        <v>5.5755354353773878</v>
      </c>
      <c r="I16" s="16">
        <f t="shared" si="24"/>
        <v>60730</v>
      </c>
      <c r="J16" s="16">
        <f>SUM(I$5:I16)</f>
        <v>96806</v>
      </c>
      <c r="K16" s="16"/>
      <c r="L16" s="18">
        <f t="shared" ca="1" si="25"/>
        <v>1.8781407035175879</v>
      </c>
      <c r="M16" s="40">
        <f t="shared" ca="1" si="1"/>
        <v>4.8720022640375866</v>
      </c>
      <c r="N16" s="16">
        <f t="shared" ca="1" si="2"/>
        <v>796</v>
      </c>
      <c r="O16" s="16">
        <f ca="1">SUM(N$5:N16)</f>
        <v>1442</v>
      </c>
      <c r="P16" s="16"/>
      <c r="Q16" s="19">
        <f t="shared" ca="1" si="26"/>
        <v>1.4895770923289879E-2</v>
      </c>
      <c r="R16" s="16"/>
      <c r="S16" s="16">
        <f t="shared" ca="1" si="3"/>
        <v>10000</v>
      </c>
      <c r="T16" s="19">
        <f t="shared" ca="1" si="27"/>
        <v>7.9600000000000004E-2</v>
      </c>
      <c r="U16" s="35"/>
      <c r="V16" s="30">
        <f t="shared" si="4"/>
        <v>1.4</v>
      </c>
      <c r="W16" s="16">
        <f t="shared" si="5"/>
        <v>9903194</v>
      </c>
      <c r="X16" s="16"/>
      <c r="Y16" s="16">
        <f t="shared" si="6"/>
        <v>6073</v>
      </c>
      <c r="Z16" s="16">
        <f t="shared" si="7"/>
        <v>36438</v>
      </c>
      <c r="AA16" s="16">
        <f t="shared" si="8"/>
        <v>18219</v>
      </c>
      <c r="AB16" s="16"/>
      <c r="AC16" s="16">
        <f t="shared" si="9"/>
        <v>16012</v>
      </c>
      <c r="AD16" s="16">
        <f t="shared" si="10"/>
        <v>284920</v>
      </c>
      <c r="AE16" s="16">
        <f t="shared" si="11"/>
        <v>9699068</v>
      </c>
      <c r="AF16" s="16"/>
      <c r="AG16" s="16">
        <f>ROUND(AC16*Desire_severe*(1-SUM($BA$5:$BC15)/Population),0)</f>
        <v>15855</v>
      </c>
      <c r="AH16" s="16">
        <f>ROUND(AD16*Desire_mild*(1-SUM($BA$5:$BC15)/Population),0)</f>
        <v>141064</v>
      </c>
      <c r="AI16" s="16">
        <f>ROUND(AE16*Desire_asy*(1-SUM($BA$5:$BC15)/Population),0)</f>
        <v>192080</v>
      </c>
      <c r="AJ16" s="16"/>
      <c r="AK16" s="16">
        <f t="shared" si="42"/>
        <v>6400</v>
      </c>
      <c r="AL16" s="16">
        <f t="shared" si="13"/>
        <v>6400</v>
      </c>
      <c r="AM16" s="16">
        <f t="shared" si="28"/>
        <v>0</v>
      </c>
      <c r="AN16" s="16"/>
      <c r="AO16" s="16">
        <f t="shared" si="43"/>
        <v>6400</v>
      </c>
      <c r="AP16" s="16">
        <f t="shared" si="44"/>
        <v>0</v>
      </c>
      <c r="AQ16" s="16">
        <f t="shared" si="29"/>
        <v>0</v>
      </c>
      <c r="AR16" s="16"/>
      <c r="AS16" s="16">
        <f t="shared" si="45"/>
        <v>9455</v>
      </c>
      <c r="AT16" s="16">
        <f t="shared" si="46"/>
        <v>141064</v>
      </c>
      <c r="AU16" s="16">
        <f t="shared" si="47"/>
        <v>192080</v>
      </c>
      <c r="AV16" s="16"/>
      <c r="AW16" s="16">
        <f t="shared" si="31"/>
        <v>0</v>
      </c>
      <c r="AX16" s="16">
        <f t="shared" si="32"/>
        <v>0</v>
      </c>
      <c r="AY16" s="16">
        <f t="shared" si="33"/>
        <v>0</v>
      </c>
      <c r="AZ16" s="16"/>
      <c r="BA16" s="16">
        <f t="shared" si="34"/>
        <v>6400</v>
      </c>
      <c r="BB16" s="16">
        <f t="shared" si="35"/>
        <v>0</v>
      </c>
      <c r="BC16" s="16">
        <f t="shared" si="36"/>
        <v>0</v>
      </c>
      <c r="BD16" s="16"/>
      <c r="BE16" s="20">
        <f t="shared" si="37"/>
        <v>0.37927804146889832</v>
      </c>
      <c r="BF16" s="20">
        <f t="shared" si="38"/>
        <v>0.12788853011371612</v>
      </c>
      <c r="BG16" s="20">
        <f t="shared" si="39"/>
        <v>1.8784279066813431E-3</v>
      </c>
      <c r="BH16" s="16"/>
      <c r="BI16" s="16">
        <f t="shared" si="19"/>
        <v>2435</v>
      </c>
      <c r="BJ16" s="16">
        <f t="shared" si="20"/>
        <v>0</v>
      </c>
      <c r="BK16" s="16">
        <f t="shared" si="21"/>
        <v>0</v>
      </c>
      <c r="BL16" s="16"/>
      <c r="BM16" s="16">
        <f t="shared" si="40"/>
        <v>2435</v>
      </c>
      <c r="BN16" s="22">
        <f t="shared" si="48"/>
        <v>1.6287625418060201</v>
      </c>
      <c r="BO16" s="19">
        <f t="shared" si="49"/>
        <v>0.38046875000000002</v>
      </c>
    </row>
    <row r="17" spans="1:67" s="9" customFormat="1" ht="13" customHeight="1" x14ac:dyDescent="0.15">
      <c r="A17" s="15" t="s">
        <v>59</v>
      </c>
      <c r="B17" s="8">
        <v>5</v>
      </c>
      <c r="D17" s="38">
        <f t="shared" si="41"/>
        <v>12</v>
      </c>
      <c r="E17" s="41">
        <f t="shared" si="22"/>
        <v>43891</v>
      </c>
      <c r="F17" s="16"/>
      <c r="G17" s="17">
        <f t="shared" si="23"/>
        <v>1.3544710380286924</v>
      </c>
      <c r="H17" s="40">
        <f t="shared" si="0"/>
        <v>7.1203021148272816</v>
      </c>
      <c r="I17" s="16">
        <f t="shared" si="24"/>
        <v>83437</v>
      </c>
      <c r="J17" s="16">
        <f>SUM(I$5:I17)</f>
        <v>180243</v>
      </c>
      <c r="K17" s="16"/>
      <c r="L17" s="18">
        <f t="shared" ca="1" si="25"/>
        <v>1.6287625418060201</v>
      </c>
      <c r="M17" s="40">
        <f t="shared" ca="1" si="1"/>
        <v>5.7397634477616943</v>
      </c>
      <c r="N17" s="16">
        <f t="shared" ca="1" si="2"/>
        <v>1495</v>
      </c>
      <c r="O17" s="16">
        <f ca="1">SUM(N$5:N17)</f>
        <v>2937</v>
      </c>
      <c r="P17" s="16"/>
      <c r="Q17" s="19">
        <f t="shared" ca="1" si="26"/>
        <v>1.6294668863700672E-2</v>
      </c>
      <c r="R17" s="16"/>
      <c r="S17" s="16">
        <f t="shared" ca="1" si="3"/>
        <v>8000</v>
      </c>
      <c r="T17" s="19">
        <f t="shared" ca="1" si="27"/>
        <v>0.18687500000000001</v>
      </c>
      <c r="U17" s="35"/>
      <c r="V17" s="30">
        <f t="shared" si="4"/>
        <v>1.4</v>
      </c>
      <c r="W17" s="16">
        <f t="shared" si="5"/>
        <v>9819757</v>
      </c>
      <c r="X17" s="16"/>
      <c r="Y17" s="16">
        <f t="shared" si="6"/>
        <v>8344</v>
      </c>
      <c r="Z17" s="16">
        <f t="shared" si="7"/>
        <v>50062</v>
      </c>
      <c r="AA17" s="16">
        <f t="shared" si="8"/>
        <v>25031</v>
      </c>
      <c r="AB17" s="16"/>
      <c r="AC17" s="16">
        <f t="shared" si="9"/>
        <v>18261</v>
      </c>
      <c r="AD17" s="16">
        <f t="shared" si="10"/>
        <v>297976</v>
      </c>
      <c r="AE17" s="16">
        <f t="shared" si="11"/>
        <v>9683763</v>
      </c>
      <c r="AF17" s="16"/>
      <c r="AG17" s="16">
        <f>ROUND(AC17*Desire_severe*(1-SUM($BA$5:$BC16)/Population),0)</f>
        <v>18070</v>
      </c>
      <c r="AH17" s="16">
        <f>ROUND(AD17*Desire_mild*(1-SUM($BA$5:$BC16)/Population),0)</f>
        <v>147433</v>
      </c>
      <c r="AI17" s="16">
        <f>ROUND(AE17*Desire_asy*(1-SUM($BA$5:$BC16)/Population),0)</f>
        <v>191653</v>
      </c>
      <c r="AJ17" s="16"/>
      <c r="AK17" s="16">
        <f t="shared" si="42"/>
        <v>5120</v>
      </c>
      <c r="AL17" s="16">
        <f t="shared" si="13"/>
        <v>5120</v>
      </c>
      <c r="AM17" s="16">
        <f t="shared" si="28"/>
        <v>0</v>
      </c>
      <c r="AN17" s="16"/>
      <c r="AO17" s="16">
        <f t="shared" si="43"/>
        <v>5120</v>
      </c>
      <c r="AP17" s="16">
        <f t="shared" si="44"/>
        <v>0</v>
      </c>
      <c r="AQ17" s="16">
        <f t="shared" si="29"/>
        <v>0</v>
      </c>
      <c r="AR17" s="16"/>
      <c r="AS17" s="16">
        <f t="shared" si="45"/>
        <v>12950</v>
      </c>
      <c r="AT17" s="16">
        <f t="shared" si="46"/>
        <v>147433</v>
      </c>
      <c r="AU17" s="16">
        <f t="shared" si="47"/>
        <v>191653</v>
      </c>
      <c r="AV17" s="16"/>
      <c r="AW17" s="16">
        <f t="shared" si="31"/>
        <v>0</v>
      </c>
      <c r="AX17" s="16">
        <f t="shared" si="32"/>
        <v>0</v>
      </c>
      <c r="AY17" s="16">
        <f t="shared" si="33"/>
        <v>0</v>
      </c>
      <c r="AZ17" s="16"/>
      <c r="BA17" s="16">
        <f t="shared" si="34"/>
        <v>5120</v>
      </c>
      <c r="BB17" s="16">
        <f t="shared" si="35"/>
        <v>0</v>
      </c>
      <c r="BC17" s="16">
        <f t="shared" si="36"/>
        <v>0</v>
      </c>
      <c r="BD17" s="16"/>
      <c r="BE17" s="20">
        <f t="shared" si="37"/>
        <v>0.45693006954712229</v>
      </c>
      <c r="BF17" s="20">
        <f t="shared" si="38"/>
        <v>0.16800681934115499</v>
      </c>
      <c r="BG17" s="20">
        <f t="shared" si="39"/>
        <v>2.584842276705863E-3</v>
      </c>
      <c r="BH17" s="16"/>
      <c r="BI17" s="16">
        <f t="shared" si="19"/>
        <v>2345</v>
      </c>
      <c r="BJ17" s="16">
        <f t="shared" si="20"/>
        <v>0</v>
      </c>
      <c r="BK17" s="16">
        <f t="shared" si="21"/>
        <v>0</v>
      </c>
      <c r="BL17" s="16"/>
      <c r="BM17" s="16">
        <f t="shared" si="40"/>
        <v>2345</v>
      </c>
      <c r="BN17" s="22">
        <f t="shared" si="48"/>
        <v>0.96303901437371664</v>
      </c>
      <c r="BO17" s="19">
        <f t="shared" si="49"/>
        <v>0.4580078125</v>
      </c>
    </row>
    <row r="18" spans="1:67" s="9" customFormat="1" ht="13" customHeight="1" x14ac:dyDescent="0.15">
      <c r="B18" s="8"/>
      <c r="D18" s="38">
        <f t="shared" si="41"/>
        <v>13</v>
      </c>
      <c r="E18" s="41">
        <f t="shared" si="22"/>
        <v>43896</v>
      </c>
      <c r="F18" s="16"/>
      <c r="G18" s="17">
        <f t="shared" si="23"/>
        <v>1.3284931822002779</v>
      </c>
      <c r="H18" s="40">
        <f t="shared" si="0"/>
        <v>8.3832785590259675</v>
      </c>
      <c r="I18" s="16">
        <f t="shared" si="24"/>
        <v>113013</v>
      </c>
      <c r="J18" s="16">
        <f>SUM(I$5:I18)</f>
        <v>293256</v>
      </c>
      <c r="K18" s="16"/>
      <c r="L18" s="18">
        <f t="shared" ca="1" si="25"/>
        <v>0.96303901437371664</v>
      </c>
      <c r="M18" s="40">
        <f t="shared" ca="1" si="1"/>
        <v>9.56789838168093</v>
      </c>
      <c r="N18" s="16">
        <f t="shared" ca="1" si="2"/>
        <v>2435</v>
      </c>
      <c r="O18" s="16">
        <f ca="1">SUM(N$5:N18)</f>
        <v>5372</v>
      </c>
      <c r="P18" s="16"/>
      <c r="Q18" s="19">
        <f t="shared" ca="1" si="26"/>
        <v>1.8318465777341298E-2</v>
      </c>
      <c r="R18" s="16"/>
      <c r="S18" s="16">
        <f t="shared" ca="1" si="3"/>
        <v>6400</v>
      </c>
      <c r="T18" s="19">
        <f t="shared" ca="1" si="27"/>
        <v>0.38046875000000002</v>
      </c>
      <c r="U18" s="35"/>
      <c r="V18" s="30">
        <f t="shared" si="4"/>
        <v>1.4</v>
      </c>
      <c r="W18" s="16">
        <f t="shared" si="5"/>
        <v>9706744</v>
      </c>
      <c r="X18" s="16"/>
      <c r="Y18" s="16">
        <f t="shared" si="6"/>
        <v>11301</v>
      </c>
      <c r="Z18" s="16">
        <f t="shared" si="7"/>
        <v>67808</v>
      </c>
      <c r="AA18" s="16">
        <f t="shared" si="8"/>
        <v>33904</v>
      </c>
      <c r="AB18" s="16"/>
      <c r="AC18" s="16">
        <f t="shared" si="9"/>
        <v>21188</v>
      </c>
      <c r="AD18" s="16">
        <f t="shared" si="10"/>
        <v>314983</v>
      </c>
      <c r="AE18" s="16">
        <f t="shared" si="11"/>
        <v>9663829</v>
      </c>
      <c r="AF18" s="16"/>
      <c r="AG18" s="16">
        <f>ROUND(AC18*Desire_severe*(1-SUM($BA$5:$BC17)/Population),0)</f>
        <v>20956</v>
      </c>
      <c r="AH18" s="16">
        <f>ROUND(AD18*Desire_mild*(1-SUM($BA$5:$BC17)/Population),0)</f>
        <v>155767</v>
      </c>
      <c r="AI18" s="16">
        <f>ROUND(AE18*Desire_asy*(1-SUM($BA$5:$BC17)/Population),0)</f>
        <v>191160</v>
      </c>
      <c r="AJ18" s="16"/>
      <c r="AK18" s="16">
        <f t="shared" si="42"/>
        <v>4096</v>
      </c>
      <c r="AL18" s="16">
        <f t="shared" si="13"/>
        <v>4096</v>
      </c>
      <c r="AM18" s="16">
        <f t="shared" si="28"/>
        <v>0</v>
      </c>
      <c r="AN18" s="16"/>
      <c r="AO18" s="16">
        <f t="shared" si="43"/>
        <v>4096</v>
      </c>
      <c r="AP18" s="16">
        <f t="shared" si="44"/>
        <v>0</v>
      </c>
      <c r="AQ18" s="16">
        <f t="shared" si="29"/>
        <v>0</v>
      </c>
      <c r="AR18" s="16"/>
      <c r="AS18" s="16">
        <f t="shared" si="45"/>
        <v>16860</v>
      </c>
      <c r="AT18" s="16">
        <f t="shared" si="46"/>
        <v>155767</v>
      </c>
      <c r="AU18" s="16">
        <f t="shared" si="47"/>
        <v>191160</v>
      </c>
      <c r="AV18" s="16"/>
      <c r="AW18" s="16">
        <f t="shared" si="31"/>
        <v>0</v>
      </c>
      <c r="AX18" s="16">
        <f t="shared" si="32"/>
        <v>0</v>
      </c>
      <c r="AY18" s="16">
        <f t="shared" si="33"/>
        <v>0</v>
      </c>
      <c r="AZ18" s="16"/>
      <c r="BA18" s="16">
        <f t="shared" si="34"/>
        <v>4096</v>
      </c>
      <c r="BB18" s="16">
        <f t="shared" si="35"/>
        <v>0</v>
      </c>
      <c r="BC18" s="16">
        <f t="shared" si="36"/>
        <v>0</v>
      </c>
      <c r="BD18" s="16"/>
      <c r="BE18" s="20">
        <f t="shared" si="37"/>
        <v>0.53336794411931276</v>
      </c>
      <c r="BF18" s="20">
        <f t="shared" si="38"/>
        <v>0.2152751100853062</v>
      </c>
      <c r="BG18" s="20">
        <f t="shared" si="39"/>
        <v>3.5083402241492478E-3</v>
      </c>
      <c r="BH18" s="16"/>
      <c r="BI18" s="16">
        <f t="shared" si="19"/>
        <v>2189</v>
      </c>
      <c r="BJ18" s="16">
        <f t="shared" si="20"/>
        <v>0</v>
      </c>
      <c r="BK18" s="16">
        <f t="shared" si="21"/>
        <v>0</v>
      </c>
      <c r="BL18" s="16"/>
      <c r="BM18" s="16">
        <f t="shared" si="40"/>
        <v>2189</v>
      </c>
      <c r="BN18" s="22">
        <f t="shared" si="48"/>
        <v>0.93347547974413647</v>
      </c>
      <c r="BO18" s="19">
        <f t="shared" si="49"/>
        <v>0.534423828125</v>
      </c>
    </row>
    <row r="19" spans="1:67" s="9" customFormat="1" ht="13" customHeight="1" x14ac:dyDescent="0.15">
      <c r="A19" s="7" t="s">
        <v>6</v>
      </c>
      <c r="B19" s="25"/>
      <c r="D19" s="38">
        <f t="shared" si="41"/>
        <v>14</v>
      </c>
      <c r="E19" s="41">
        <f t="shared" si="22"/>
        <v>43901</v>
      </c>
      <c r="F19" s="16"/>
      <c r="G19" s="17">
        <f t="shared" si="23"/>
        <v>1.2945842796912153</v>
      </c>
      <c r="H19" s="40">
        <f t="shared" si="0"/>
        <v>9.5342863975350163</v>
      </c>
      <c r="I19" s="16">
        <f t="shared" si="24"/>
        <v>150137</v>
      </c>
      <c r="J19" s="16">
        <f>SUM(I$5:I19)</f>
        <v>443393</v>
      </c>
      <c r="K19" s="16"/>
      <c r="L19" s="18">
        <f t="shared" ca="1" si="25"/>
        <v>0.93347547974413647</v>
      </c>
      <c r="M19" s="40">
        <f t="shared" ca="1" si="1"/>
        <v>13.87876836661321</v>
      </c>
      <c r="N19" s="16">
        <f t="shared" ca="1" si="2"/>
        <v>2345</v>
      </c>
      <c r="O19" s="16">
        <f ca="1">SUM(N$5:N19)</f>
        <v>7717</v>
      </c>
      <c r="P19" s="16"/>
      <c r="Q19" s="19">
        <f t="shared" ca="1" si="26"/>
        <v>1.7404424517301807E-2</v>
      </c>
      <c r="R19" s="16"/>
      <c r="S19" s="16">
        <f t="shared" ca="1" si="3"/>
        <v>5120</v>
      </c>
      <c r="T19" s="19">
        <f t="shared" ca="1" si="27"/>
        <v>0.4580078125</v>
      </c>
      <c r="U19" s="35"/>
      <c r="V19" s="30">
        <f t="shared" si="4"/>
        <v>1.4</v>
      </c>
      <c r="W19" s="16">
        <f t="shared" si="5"/>
        <v>9556607</v>
      </c>
      <c r="X19" s="16"/>
      <c r="Y19" s="16">
        <f t="shared" si="6"/>
        <v>15014</v>
      </c>
      <c r="Z19" s="16">
        <f t="shared" si="7"/>
        <v>90082</v>
      </c>
      <c r="AA19" s="16">
        <f t="shared" si="8"/>
        <v>45041</v>
      </c>
      <c r="AB19" s="16"/>
      <c r="AC19" s="16">
        <f t="shared" si="9"/>
        <v>24864</v>
      </c>
      <c r="AD19" s="16">
        <f t="shared" si="10"/>
        <v>336329</v>
      </c>
      <c r="AE19" s="16">
        <f t="shared" si="11"/>
        <v>9638807</v>
      </c>
      <c r="AF19" s="16"/>
      <c r="AG19" s="16">
        <f>ROUND(AC19*Desire_severe*(1-SUM($BA$5:$BC18)/Population),0)</f>
        <v>24582</v>
      </c>
      <c r="AH19" s="16">
        <f>ROUND(AD19*Desire_mild*(1-SUM($BA$5:$BC18)/Population),0)</f>
        <v>166254</v>
      </c>
      <c r="AI19" s="16">
        <f>ROUND(AE19*Desire_asy*(1-SUM($BA$5:$BC18)/Population),0)</f>
        <v>190586</v>
      </c>
      <c r="AJ19" s="16"/>
      <c r="AK19" s="16">
        <f t="shared" si="42"/>
        <v>3277</v>
      </c>
      <c r="AL19" s="16">
        <f t="shared" si="13"/>
        <v>3277</v>
      </c>
      <c r="AM19" s="16">
        <f t="shared" si="28"/>
        <v>0</v>
      </c>
      <c r="AN19" s="16"/>
      <c r="AO19" s="16">
        <f t="shared" si="43"/>
        <v>3277</v>
      </c>
      <c r="AP19" s="16">
        <f t="shared" si="44"/>
        <v>0</v>
      </c>
      <c r="AQ19" s="16">
        <f t="shared" si="29"/>
        <v>0</v>
      </c>
      <c r="AR19" s="16"/>
      <c r="AS19" s="16">
        <f t="shared" si="45"/>
        <v>21305</v>
      </c>
      <c r="AT19" s="16">
        <f t="shared" si="46"/>
        <v>166254</v>
      </c>
      <c r="AU19" s="16">
        <f t="shared" si="47"/>
        <v>190586</v>
      </c>
      <c r="AV19" s="16"/>
      <c r="AW19" s="16">
        <f t="shared" si="31"/>
        <v>0</v>
      </c>
      <c r="AX19" s="16">
        <f t="shared" si="32"/>
        <v>0</v>
      </c>
      <c r="AY19" s="16">
        <f t="shared" si="33"/>
        <v>0</v>
      </c>
      <c r="AZ19" s="16"/>
      <c r="BA19" s="16">
        <f t="shared" si="34"/>
        <v>3277</v>
      </c>
      <c r="BB19" s="16">
        <f t="shared" si="35"/>
        <v>0</v>
      </c>
      <c r="BC19" s="16">
        <f t="shared" si="36"/>
        <v>0</v>
      </c>
      <c r="BD19" s="16"/>
      <c r="BE19" s="20">
        <f t="shared" si="37"/>
        <v>0.60384491634491633</v>
      </c>
      <c r="BF19" s="20">
        <f t="shared" si="38"/>
        <v>0.26783893152240812</v>
      </c>
      <c r="BG19" s="20">
        <f t="shared" si="39"/>
        <v>4.6728811978494853E-3</v>
      </c>
      <c r="BH19" s="16"/>
      <c r="BI19" s="16">
        <f t="shared" si="19"/>
        <v>1982</v>
      </c>
      <c r="BJ19" s="16">
        <f t="shared" si="20"/>
        <v>0</v>
      </c>
      <c r="BK19" s="16">
        <f t="shared" si="21"/>
        <v>0</v>
      </c>
      <c r="BL19" s="16"/>
      <c r="BM19" s="16">
        <f t="shared" si="40"/>
        <v>1982</v>
      </c>
      <c r="BN19" s="22">
        <f t="shared" si="48"/>
        <v>0.9054362722704431</v>
      </c>
      <c r="BO19" s="19">
        <f t="shared" si="49"/>
        <v>0.60482148306377781</v>
      </c>
    </row>
    <row r="20" spans="1:67" s="9" customFormat="1" ht="13" customHeight="1" x14ac:dyDescent="0.15">
      <c r="A20" s="15" t="s">
        <v>1</v>
      </c>
      <c r="B20" s="25">
        <v>10000000</v>
      </c>
      <c r="D20" s="38">
        <f t="shared" si="41"/>
        <v>15</v>
      </c>
      <c r="E20" s="41">
        <f t="shared" si="22"/>
        <v>43906</v>
      </c>
      <c r="F20" s="16"/>
      <c r="G20" s="17">
        <f t="shared" si="23"/>
        <v>1.2516811154271603</v>
      </c>
      <c r="H20" s="40">
        <f t="shared" si="0"/>
        <v>10.725009189745249</v>
      </c>
      <c r="I20" s="16">
        <f t="shared" si="24"/>
        <v>194365</v>
      </c>
      <c r="J20" s="16">
        <f>SUM(I$5:I20)</f>
        <v>637758</v>
      </c>
      <c r="K20" s="16"/>
      <c r="L20" s="18">
        <f t="shared" ca="1" si="25"/>
        <v>0.9054362722704431</v>
      </c>
      <c r="M20" s="40">
        <f t="shared" ca="1" si="1"/>
        <v>19.001906259152758</v>
      </c>
      <c r="N20" s="16">
        <f t="shared" ca="1" si="2"/>
        <v>2189</v>
      </c>
      <c r="O20" s="16">
        <f ca="1">SUM(N$5:N20)</f>
        <v>9906</v>
      </c>
      <c r="P20" s="16"/>
      <c r="Q20" s="19">
        <f t="shared" ca="1" si="26"/>
        <v>1.5532537420149962E-2</v>
      </c>
      <c r="R20" s="16"/>
      <c r="S20" s="16">
        <f t="shared" ca="1" si="3"/>
        <v>4096</v>
      </c>
      <c r="T20" s="19">
        <f t="shared" ca="1" si="27"/>
        <v>0.534423828125</v>
      </c>
      <c r="U20" s="35"/>
      <c r="V20" s="30">
        <f t="shared" si="4"/>
        <v>1.4</v>
      </c>
      <c r="W20" s="16">
        <f t="shared" si="5"/>
        <v>9362242</v>
      </c>
      <c r="X20" s="16"/>
      <c r="Y20" s="16">
        <f t="shared" si="6"/>
        <v>19437</v>
      </c>
      <c r="Z20" s="16">
        <f t="shared" si="7"/>
        <v>116619</v>
      </c>
      <c r="AA20" s="16">
        <f t="shared" si="8"/>
        <v>58309</v>
      </c>
      <c r="AB20" s="16"/>
      <c r="AC20" s="16">
        <f t="shared" si="9"/>
        <v>29243</v>
      </c>
      <c r="AD20" s="16">
        <f t="shared" si="10"/>
        <v>361760</v>
      </c>
      <c r="AE20" s="16">
        <f t="shared" si="11"/>
        <v>9608997</v>
      </c>
      <c r="AF20" s="16"/>
      <c r="AG20" s="16">
        <f>ROUND(AC20*Desire_severe*(1-SUM($BA$5:$BC19)/Population),0)</f>
        <v>28901</v>
      </c>
      <c r="AH20" s="16">
        <f>ROUND(AD20*Desire_mild*(1-SUM($BA$5:$BC19)/Population),0)</f>
        <v>178766</v>
      </c>
      <c r="AI20" s="16">
        <f>ROUND(AE20*Desire_asy*(1-SUM($BA$5:$BC19)/Population),0)</f>
        <v>189933</v>
      </c>
      <c r="AJ20" s="16"/>
      <c r="AK20" s="16">
        <f t="shared" si="42"/>
        <v>2622</v>
      </c>
      <c r="AL20" s="16">
        <f t="shared" si="13"/>
        <v>2622</v>
      </c>
      <c r="AM20" s="16">
        <f t="shared" si="28"/>
        <v>0</v>
      </c>
      <c r="AN20" s="16"/>
      <c r="AO20" s="16">
        <f t="shared" si="43"/>
        <v>2622</v>
      </c>
      <c r="AP20" s="16">
        <f t="shared" si="44"/>
        <v>0</v>
      </c>
      <c r="AQ20" s="16">
        <f t="shared" si="29"/>
        <v>0</v>
      </c>
      <c r="AR20" s="16"/>
      <c r="AS20" s="16">
        <f t="shared" si="45"/>
        <v>26279</v>
      </c>
      <c r="AT20" s="16">
        <f t="shared" si="46"/>
        <v>178766</v>
      </c>
      <c r="AU20" s="16">
        <f t="shared" si="47"/>
        <v>189933</v>
      </c>
      <c r="AV20" s="16"/>
      <c r="AW20" s="16">
        <f t="shared" si="31"/>
        <v>0</v>
      </c>
      <c r="AX20" s="16">
        <f t="shared" si="32"/>
        <v>0</v>
      </c>
      <c r="AY20" s="16">
        <f t="shared" si="33"/>
        <v>0</v>
      </c>
      <c r="AZ20" s="16"/>
      <c r="BA20" s="16">
        <f t="shared" si="34"/>
        <v>2622</v>
      </c>
      <c r="BB20" s="16">
        <f t="shared" si="35"/>
        <v>0</v>
      </c>
      <c r="BC20" s="16">
        <f t="shared" si="36"/>
        <v>0</v>
      </c>
      <c r="BD20" s="16"/>
      <c r="BE20" s="20">
        <f t="shared" si="37"/>
        <v>0.66467188728926585</v>
      </c>
      <c r="BF20" s="20">
        <f t="shared" si="38"/>
        <v>0.3223656567890314</v>
      </c>
      <c r="BG20" s="20">
        <f t="shared" si="39"/>
        <v>6.0681671562599097E-3</v>
      </c>
      <c r="BH20" s="16"/>
      <c r="BI20" s="16">
        <f t="shared" si="19"/>
        <v>1745</v>
      </c>
      <c r="BJ20" s="16">
        <f t="shared" si="20"/>
        <v>0</v>
      </c>
      <c r="BK20" s="16">
        <f t="shared" si="21"/>
        <v>0</v>
      </c>
      <c r="BL20" s="16"/>
      <c r="BM20" s="16">
        <f t="shared" si="40"/>
        <v>1745</v>
      </c>
      <c r="BN20" s="22">
        <f t="shared" si="48"/>
        <v>0.88042381432896066</v>
      </c>
      <c r="BO20" s="19">
        <f t="shared" si="49"/>
        <v>0.66552250190694129</v>
      </c>
    </row>
    <row r="21" spans="1:67" s="9" customFormat="1" ht="13" customHeight="1" x14ac:dyDescent="0.15">
      <c r="A21" s="15" t="s">
        <v>56</v>
      </c>
      <c r="B21" s="8">
        <v>1</v>
      </c>
      <c r="D21" s="38">
        <f t="shared" si="41"/>
        <v>16</v>
      </c>
      <c r="E21" s="41">
        <f t="shared" si="22"/>
        <v>43911</v>
      </c>
      <c r="F21" s="16"/>
      <c r="G21" s="17">
        <f t="shared" si="23"/>
        <v>1.1995042810225129</v>
      </c>
      <c r="H21" s="40">
        <f t="shared" si="0"/>
        <v>12.113877673401534</v>
      </c>
      <c r="I21" s="16">
        <f t="shared" si="24"/>
        <v>243283</v>
      </c>
      <c r="J21" s="16">
        <f>SUM(I$5:I21)</f>
        <v>881041</v>
      </c>
      <c r="K21" s="16"/>
      <c r="L21" s="18">
        <f t="shared" ca="1" si="25"/>
        <v>0.88042381432896066</v>
      </c>
      <c r="M21" s="40">
        <f t="shared" ca="1" si="1"/>
        <v>25.304021836943132</v>
      </c>
      <c r="N21" s="16">
        <f t="shared" ca="1" si="2"/>
        <v>1982</v>
      </c>
      <c r="O21" s="16">
        <f ca="1">SUM(N$5:N21)</f>
        <v>11888</v>
      </c>
      <c r="P21" s="16"/>
      <c r="Q21" s="19">
        <f t="shared" ca="1" si="26"/>
        <v>1.3493129150629767E-2</v>
      </c>
      <c r="R21" s="16"/>
      <c r="S21" s="16">
        <f t="shared" ca="1" si="3"/>
        <v>3277</v>
      </c>
      <c r="T21" s="19">
        <f t="shared" ca="1" si="27"/>
        <v>0.60482148306377781</v>
      </c>
      <c r="U21" s="35"/>
      <c r="V21" s="30">
        <f t="shared" si="4"/>
        <v>1.4</v>
      </c>
      <c r="W21" s="16">
        <f t="shared" si="5"/>
        <v>9118959</v>
      </c>
      <c r="X21" s="16"/>
      <c r="Y21" s="16">
        <f t="shared" si="6"/>
        <v>24328</v>
      </c>
      <c r="Z21" s="16">
        <f t="shared" si="7"/>
        <v>145970</v>
      </c>
      <c r="AA21" s="16">
        <f t="shared" si="8"/>
        <v>72985</v>
      </c>
      <c r="AB21" s="16"/>
      <c r="AC21" s="16">
        <f t="shared" si="9"/>
        <v>34085</v>
      </c>
      <c r="AD21" s="16">
        <f t="shared" si="10"/>
        <v>389888</v>
      </c>
      <c r="AE21" s="16">
        <f t="shared" si="11"/>
        <v>9576027</v>
      </c>
      <c r="AF21" s="16"/>
      <c r="AG21" s="16">
        <f>ROUND(AC21*Desire_severe*(1-SUM($BA$5:$BC20)/Population),0)</f>
        <v>33678</v>
      </c>
      <c r="AH21" s="16">
        <f>ROUND(AD21*Desire_mild*(1-SUM($BA$5:$BC20)/Population),0)</f>
        <v>192614</v>
      </c>
      <c r="AI21" s="16">
        <f>ROUND(AE21*Desire_asy*(1-SUM($BA$5:$BC20)/Population),0)</f>
        <v>189232</v>
      </c>
      <c r="AJ21" s="16"/>
      <c r="AK21" s="16">
        <f t="shared" si="42"/>
        <v>2098</v>
      </c>
      <c r="AL21" s="16">
        <f t="shared" si="13"/>
        <v>2098</v>
      </c>
      <c r="AM21" s="16">
        <f t="shared" si="28"/>
        <v>0</v>
      </c>
      <c r="AN21" s="16"/>
      <c r="AO21" s="16">
        <f t="shared" si="43"/>
        <v>2098</v>
      </c>
      <c r="AP21" s="16">
        <f t="shared" si="44"/>
        <v>0</v>
      </c>
      <c r="AQ21" s="16">
        <f t="shared" si="29"/>
        <v>0</v>
      </c>
      <c r="AR21" s="16"/>
      <c r="AS21" s="16">
        <f t="shared" si="45"/>
        <v>31580</v>
      </c>
      <c r="AT21" s="16">
        <f t="shared" si="46"/>
        <v>192614</v>
      </c>
      <c r="AU21" s="16">
        <f t="shared" si="47"/>
        <v>189232</v>
      </c>
      <c r="AV21" s="16"/>
      <c r="AW21" s="16">
        <f t="shared" si="31"/>
        <v>0</v>
      </c>
      <c r="AX21" s="16">
        <f t="shared" si="32"/>
        <v>0</v>
      </c>
      <c r="AY21" s="16">
        <f t="shared" si="33"/>
        <v>0</v>
      </c>
      <c r="AZ21" s="16"/>
      <c r="BA21" s="16">
        <f t="shared" si="34"/>
        <v>2098</v>
      </c>
      <c r="BB21" s="16">
        <f t="shared" si="35"/>
        <v>0</v>
      </c>
      <c r="BC21" s="16">
        <f t="shared" si="36"/>
        <v>0</v>
      </c>
      <c r="BD21" s="16"/>
      <c r="BE21" s="20">
        <f t="shared" si="37"/>
        <v>0.71374504914185122</v>
      </c>
      <c r="BF21" s="20">
        <f t="shared" si="38"/>
        <v>0.37438956828627706</v>
      </c>
      <c r="BG21" s="20">
        <f t="shared" si="39"/>
        <v>7.6216368228702782E-3</v>
      </c>
      <c r="BH21" s="16"/>
      <c r="BI21" s="16">
        <f t="shared" si="19"/>
        <v>1498</v>
      </c>
      <c r="BJ21" s="16">
        <f t="shared" si="20"/>
        <v>0</v>
      </c>
      <c r="BK21" s="16">
        <f t="shared" si="21"/>
        <v>0</v>
      </c>
      <c r="BL21" s="16"/>
      <c r="BM21" s="16">
        <f t="shared" si="40"/>
        <v>1498</v>
      </c>
      <c r="BN21" s="22">
        <f t="shared" si="48"/>
        <v>0.85845272206303724</v>
      </c>
      <c r="BO21" s="19">
        <f t="shared" si="49"/>
        <v>0.71401334604385125</v>
      </c>
    </row>
    <row r="22" spans="1:67" s="9" customFormat="1" ht="13" customHeight="1" x14ac:dyDescent="0.15">
      <c r="A22" s="15"/>
      <c r="B22" s="8"/>
      <c r="D22" s="38">
        <f t="shared" si="41"/>
        <v>17</v>
      </c>
      <c r="E22" s="41">
        <f t="shared" si="22"/>
        <v>43916</v>
      </c>
      <c r="F22" s="16"/>
      <c r="G22" s="17">
        <f t="shared" si="23"/>
        <v>1.1390690804916745</v>
      </c>
      <c r="H22" s="40">
        <f t="shared" si="0"/>
        <v>13.889513752727023</v>
      </c>
      <c r="I22" s="16">
        <f t="shared" si="24"/>
        <v>291819</v>
      </c>
      <c r="J22" s="16">
        <f>SUM(I$5:I22)</f>
        <v>1172860</v>
      </c>
      <c r="K22" s="16"/>
      <c r="L22" s="18">
        <f t="shared" ca="1" si="25"/>
        <v>0.85845272206303724</v>
      </c>
      <c r="M22" s="40">
        <f t="shared" ca="1" si="1"/>
        <v>33.243737166414164</v>
      </c>
      <c r="N22" s="16">
        <f t="shared" ca="1" si="2"/>
        <v>1745</v>
      </c>
      <c r="O22" s="16">
        <f ca="1">SUM(N$5:N22)</f>
        <v>13633</v>
      </c>
      <c r="P22" s="16"/>
      <c r="Q22" s="19">
        <f t="shared" ca="1" si="26"/>
        <v>1.1623723206520812E-2</v>
      </c>
      <c r="R22" s="16"/>
      <c r="S22" s="16">
        <f t="shared" ca="1" si="3"/>
        <v>2622</v>
      </c>
      <c r="T22" s="19">
        <f t="shared" ca="1" si="27"/>
        <v>0.66552250190694129</v>
      </c>
      <c r="U22" s="35"/>
      <c r="V22" s="30">
        <f t="shared" si="4"/>
        <v>1.4</v>
      </c>
      <c r="W22" s="16">
        <f t="shared" si="5"/>
        <v>8827140</v>
      </c>
      <c r="X22" s="16"/>
      <c r="Y22" s="16">
        <f t="shared" si="6"/>
        <v>29182</v>
      </c>
      <c r="Z22" s="16">
        <f t="shared" si="7"/>
        <v>175091</v>
      </c>
      <c r="AA22" s="16">
        <f t="shared" si="8"/>
        <v>87546</v>
      </c>
      <c r="AB22" s="16"/>
      <c r="AC22" s="16">
        <f t="shared" si="9"/>
        <v>38890</v>
      </c>
      <c r="AD22" s="16">
        <f t="shared" si="10"/>
        <v>417796</v>
      </c>
      <c r="AE22" s="16">
        <f t="shared" si="11"/>
        <v>9543314</v>
      </c>
      <c r="AF22" s="16"/>
      <c r="AG22" s="16">
        <f>ROUND(AC22*Desire_severe*(1-SUM($BA$5:$BC21)/Population),0)</f>
        <v>38417</v>
      </c>
      <c r="AH22" s="16">
        <f>ROUND(AD22*Desire_mild*(1-SUM($BA$5:$BC21)/Population),0)</f>
        <v>206358</v>
      </c>
      <c r="AI22" s="16">
        <f>ROUND(AE22*Desire_asy*(1-SUM($BA$5:$BC21)/Population),0)</f>
        <v>188545</v>
      </c>
      <c r="AJ22" s="16"/>
      <c r="AK22" s="16">
        <f t="shared" si="42"/>
        <v>1678</v>
      </c>
      <c r="AL22" s="16">
        <f t="shared" si="13"/>
        <v>1678</v>
      </c>
      <c r="AM22" s="16">
        <f t="shared" si="28"/>
        <v>0</v>
      </c>
      <c r="AN22" s="16"/>
      <c r="AO22" s="16">
        <f t="shared" si="43"/>
        <v>1678</v>
      </c>
      <c r="AP22" s="16">
        <f t="shared" si="44"/>
        <v>0</v>
      </c>
      <c r="AQ22" s="16">
        <f t="shared" si="29"/>
        <v>0</v>
      </c>
      <c r="AR22" s="16"/>
      <c r="AS22" s="16">
        <f t="shared" si="45"/>
        <v>36739</v>
      </c>
      <c r="AT22" s="16">
        <f t="shared" si="46"/>
        <v>206358</v>
      </c>
      <c r="AU22" s="16">
        <f t="shared" si="47"/>
        <v>188545</v>
      </c>
      <c r="AV22" s="16"/>
      <c r="AW22" s="16">
        <f t="shared" si="31"/>
        <v>0</v>
      </c>
      <c r="AX22" s="16">
        <f t="shared" si="32"/>
        <v>0</v>
      </c>
      <c r="AY22" s="16">
        <f t="shared" si="33"/>
        <v>0</v>
      </c>
      <c r="AZ22" s="16"/>
      <c r="BA22" s="16">
        <f t="shared" si="34"/>
        <v>1678</v>
      </c>
      <c r="BB22" s="16">
        <f t="shared" si="35"/>
        <v>0</v>
      </c>
      <c r="BC22" s="16">
        <f t="shared" si="36"/>
        <v>0</v>
      </c>
      <c r="BD22" s="16"/>
      <c r="BE22" s="20">
        <f t="shared" si="37"/>
        <v>0.75037284649010028</v>
      </c>
      <c r="BF22" s="20">
        <f t="shared" si="38"/>
        <v>0.41908251874120384</v>
      </c>
      <c r="BG22" s="20">
        <f t="shared" si="39"/>
        <v>9.1735428594301727E-3</v>
      </c>
      <c r="BH22" s="16"/>
      <c r="BI22" s="16">
        <f t="shared" si="19"/>
        <v>1260</v>
      </c>
      <c r="BJ22" s="16">
        <f t="shared" si="20"/>
        <v>0</v>
      </c>
      <c r="BK22" s="16">
        <f t="shared" si="21"/>
        <v>0</v>
      </c>
      <c r="BL22" s="16"/>
      <c r="BM22" s="16">
        <f t="shared" si="40"/>
        <v>1260</v>
      </c>
      <c r="BN22" s="22">
        <f t="shared" si="48"/>
        <v>0.84112149532710279</v>
      </c>
      <c r="BO22" s="19">
        <f t="shared" si="49"/>
        <v>0.7508939213349225</v>
      </c>
    </row>
    <row r="23" spans="1:67" s="9" customFormat="1" ht="13" customHeight="1" x14ac:dyDescent="0.15">
      <c r="A23" s="15" t="s">
        <v>43</v>
      </c>
      <c r="B23" s="26">
        <v>1E-3</v>
      </c>
      <c r="D23" s="38">
        <f t="shared" si="41"/>
        <v>18</v>
      </c>
      <c r="E23" s="41">
        <f t="shared" si="22"/>
        <v>43921</v>
      </c>
      <c r="F23" s="16"/>
      <c r="G23" s="17">
        <f t="shared" si="23"/>
        <v>1.0729327741710339</v>
      </c>
      <c r="H23" s="40">
        <f t="shared" si="0"/>
        <v>16.299047350495183</v>
      </c>
      <c r="I23" s="16">
        <f t="shared" si="24"/>
        <v>332402</v>
      </c>
      <c r="J23" s="16">
        <f>SUM(I$5:I23)</f>
        <v>1505262</v>
      </c>
      <c r="K23" s="16"/>
      <c r="L23" s="18">
        <f t="shared" ca="1" si="25"/>
        <v>0.84112149532710279</v>
      </c>
      <c r="M23" s="40">
        <f t="shared" ca="1" si="1"/>
        <v>43.328856583314888</v>
      </c>
      <c r="N23" s="16">
        <f t="shared" ca="1" si="2"/>
        <v>1498</v>
      </c>
      <c r="O23" s="16">
        <f ca="1">SUM(N$5:N23)</f>
        <v>15131</v>
      </c>
      <c r="P23" s="16"/>
      <c r="Q23" s="19">
        <f t="shared" ca="1" si="26"/>
        <v>1.0052070669424991E-2</v>
      </c>
      <c r="R23" s="16"/>
      <c r="S23" s="16">
        <f t="shared" ca="1" si="3"/>
        <v>2098</v>
      </c>
      <c r="T23" s="19">
        <f t="shared" ca="1" si="27"/>
        <v>0.71401334604385125</v>
      </c>
      <c r="U23" s="35"/>
      <c r="V23" s="30">
        <f t="shared" si="4"/>
        <v>1.4</v>
      </c>
      <c r="W23" s="16">
        <f t="shared" si="5"/>
        <v>8494738</v>
      </c>
      <c r="X23" s="16"/>
      <c r="Y23" s="16">
        <f t="shared" si="6"/>
        <v>33240</v>
      </c>
      <c r="Z23" s="16">
        <f t="shared" si="7"/>
        <v>199441</v>
      </c>
      <c r="AA23" s="16">
        <f t="shared" si="8"/>
        <v>99721</v>
      </c>
      <c r="AB23" s="16"/>
      <c r="AC23" s="16">
        <f t="shared" si="9"/>
        <v>42908</v>
      </c>
      <c r="AD23" s="16">
        <f t="shared" si="10"/>
        <v>441131</v>
      </c>
      <c r="AE23" s="16">
        <f t="shared" si="11"/>
        <v>9515961</v>
      </c>
      <c r="AF23" s="16"/>
      <c r="AG23" s="16">
        <f>ROUND(AC23*Desire_severe*(1-SUM($BA$5:$BC22)/Population),0)</f>
        <v>42379</v>
      </c>
      <c r="AH23" s="16">
        <f>ROUND(AD23*Desire_mild*(1-SUM($BA$5:$BC22)/Population),0)</f>
        <v>217846</v>
      </c>
      <c r="AI23" s="16">
        <f>ROUND(AE23*Desire_asy*(1-SUM($BA$5:$BC22)/Population),0)</f>
        <v>187973</v>
      </c>
      <c r="AJ23" s="16"/>
      <c r="AK23" s="16">
        <f t="shared" si="42"/>
        <v>1342</v>
      </c>
      <c r="AL23" s="16">
        <f t="shared" si="13"/>
        <v>1342</v>
      </c>
      <c r="AM23" s="16">
        <f t="shared" si="28"/>
        <v>0</v>
      </c>
      <c r="AN23" s="16"/>
      <c r="AO23" s="16">
        <f t="shared" si="43"/>
        <v>1342</v>
      </c>
      <c r="AP23" s="16">
        <f t="shared" si="44"/>
        <v>0</v>
      </c>
      <c r="AQ23" s="16">
        <f t="shared" si="29"/>
        <v>0</v>
      </c>
      <c r="AR23" s="16"/>
      <c r="AS23" s="16">
        <f t="shared" si="45"/>
        <v>41037</v>
      </c>
      <c r="AT23" s="16">
        <f t="shared" si="46"/>
        <v>217846</v>
      </c>
      <c r="AU23" s="16">
        <f t="shared" si="47"/>
        <v>187973</v>
      </c>
      <c r="AV23" s="16"/>
      <c r="AW23" s="16">
        <f t="shared" si="31"/>
        <v>0</v>
      </c>
      <c r="AX23" s="16">
        <f t="shared" si="32"/>
        <v>0</v>
      </c>
      <c r="AY23" s="16">
        <f t="shared" si="33"/>
        <v>0</v>
      </c>
      <c r="AZ23" s="16"/>
      <c r="BA23" s="16">
        <f t="shared" si="34"/>
        <v>1342</v>
      </c>
      <c r="BB23" s="16">
        <f t="shared" si="35"/>
        <v>0</v>
      </c>
      <c r="BC23" s="16">
        <f t="shared" si="36"/>
        <v>0</v>
      </c>
      <c r="BD23" s="16"/>
      <c r="BE23" s="20">
        <f t="shared" si="37"/>
        <v>0.77468071222149715</v>
      </c>
      <c r="BF23" s="20">
        <f t="shared" si="38"/>
        <v>0.45211286443256082</v>
      </c>
      <c r="BG23" s="20">
        <f t="shared" si="39"/>
        <v>1.0479340972498731E-2</v>
      </c>
      <c r="BH23" s="16"/>
      <c r="BI23" s="16">
        <f t="shared" si="19"/>
        <v>1041</v>
      </c>
      <c r="BJ23" s="16">
        <f t="shared" si="20"/>
        <v>0</v>
      </c>
      <c r="BK23" s="16">
        <f t="shared" si="21"/>
        <v>0</v>
      </c>
      <c r="BL23" s="16"/>
      <c r="BM23" s="16">
        <f t="shared" si="40"/>
        <v>1041</v>
      </c>
      <c r="BN23" s="22">
        <f t="shared" si="48"/>
        <v>0.82619047619047614</v>
      </c>
      <c r="BO23" s="19">
        <f t="shared" si="49"/>
        <v>0.77570789865871836</v>
      </c>
    </row>
    <row r="24" spans="1:67" s="9" customFormat="1" ht="13" customHeight="1" x14ac:dyDescent="0.15">
      <c r="A24" s="15" t="s">
        <v>44</v>
      </c>
      <c r="B24" s="26">
        <v>2.5000000000000001E-2</v>
      </c>
      <c r="D24" s="38">
        <f t="shared" si="41"/>
        <v>19</v>
      </c>
      <c r="E24" s="41">
        <f t="shared" si="22"/>
        <v>43926</v>
      </c>
      <c r="F24" s="16"/>
      <c r="G24" s="17">
        <f t="shared" si="23"/>
        <v>0.5081607761219139</v>
      </c>
      <c r="H24" s="40">
        <f t="shared" si="0"/>
        <v>37.311469819760731</v>
      </c>
      <c r="I24" s="16">
        <f t="shared" si="24"/>
        <v>356645</v>
      </c>
      <c r="J24" s="16">
        <f>SUM(I$5:I24)</f>
        <v>1861907</v>
      </c>
      <c r="K24" s="16"/>
      <c r="L24" s="18">
        <f t="shared" ca="1" si="25"/>
        <v>0.82619047619047614</v>
      </c>
      <c r="M24" s="40">
        <f t="shared" ca="1" si="1"/>
        <v>56.284612054211955</v>
      </c>
      <c r="N24" s="16">
        <f t="shared" ca="1" si="2"/>
        <v>1260</v>
      </c>
      <c r="O24" s="16">
        <f ca="1">SUM(N$5:N24)</f>
        <v>16391</v>
      </c>
      <c r="P24" s="16"/>
      <c r="Q24" s="19">
        <f t="shared" ca="1" si="26"/>
        <v>8.8033398016120028E-3</v>
      </c>
      <c r="R24" s="16"/>
      <c r="S24" s="16">
        <f t="shared" ca="1" si="3"/>
        <v>1678</v>
      </c>
      <c r="T24" s="19">
        <f t="shared" ca="1" si="27"/>
        <v>0.7508939213349225</v>
      </c>
      <c r="U24" s="35"/>
      <c r="V24" s="30">
        <f t="shared" si="4"/>
        <v>0.7</v>
      </c>
      <c r="W24" s="16">
        <f t="shared" si="5"/>
        <v>8138093</v>
      </c>
      <c r="X24" s="16"/>
      <c r="Y24" s="16">
        <f t="shared" si="6"/>
        <v>35665</v>
      </c>
      <c r="Z24" s="16">
        <f t="shared" si="7"/>
        <v>213987</v>
      </c>
      <c r="AA24" s="16">
        <f t="shared" si="8"/>
        <v>106993</v>
      </c>
      <c r="AB24" s="16"/>
      <c r="AC24" s="16">
        <f t="shared" si="9"/>
        <v>45308</v>
      </c>
      <c r="AD24" s="16">
        <f t="shared" si="10"/>
        <v>455071</v>
      </c>
      <c r="AE24" s="16">
        <f t="shared" si="11"/>
        <v>9499621</v>
      </c>
      <c r="AF24" s="16"/>
      <c r="AG24" s="16">
        <f>ROUND(AC24*Desire_severe*(1-SUM($BA$5:$BC23)/Population),0)</f>
        <v>44743</v>
      </c>
      <c r="AH24" s="16">
        <f>ROUND(AD24*Desire_mild*(1-SUM($BA$5:$BC23)/Population),0)</f>
        <v>224700</v>
      </c>
      <c r="AI24" s="16">
        <f>ROUND(AE24*Desire_asy*(1-SUM($BA$5:$BC23)/Population),0)</f>
        <v>187624</v>
      </c>
      <c r="AJ24" s="16"/>
      <c r="AK24" s="16">
        <f t="shared" si="42"/>
        <v>1074</v>
      </c>
      <c r="AL24" s="16">
        <f t="shared" si="13"/>
        <v>1074</v>
      </c>
      <c r="AM24" s="16">
        <f t="shared" si="28"/>
        <v>0</v>
      </c>
      <c r="AN24" s="16"/>
      <c r="AO24" s="16">
        <f t="shared" si="43"/>
        <v>1074</v>
      </c>
      <c r="AP24" s="16">
        <f t="shared" si="44"/>
        <v>0</v>
      </c>
      <c r="AQ24" s="16">
        <f t="shared" si="29"/>
        <v>0</v>
      </c>
      <c r="AR24" s="16"/>
      <c r="AS24" s="16">
        <f t="shared" si="45"/>
        <v>43669</v>
      </c>
      <c r="AT24" s="16">
        <f t="shared" si="46"/>
        <v>224700</v>
      </c>
      <c r="AU24" s="16">
        <f t="shared" si="47"/>
        <v>187624</v>
      </c>
      <c r="AV24" s="16"/>
      <c r="AW24" s="16">
        <f t="shared" si="31"/>
        <v>0</v>
      </c>
      <c r="AX24" s="16">
        <f t="shared" si="32"/>
        <v>0</v>
      </c>
      <c r="AY24" s="16">
        <f t="shared" si="33"/>
        <v>0</v>
      </c>
      <c r="AZ24" s="16"/>
      <c r="BA24" s="16">
        <f t="shared" si="34"/>
        <v>1074</v>
      </c>
      <c r="BB24" s="16">
        <f t="shared" si="35"/>
        <v>0</v>
      </c>
      <c r="BC24" s="16">
        <f t="shared" si="36"/>
        <v>0</v>
      </c>
      <c r="BD24" s="16"/>
      <c r="BE24" s="20">
        <f t="shared" si="37"/>
        <v>0.78716782908095706</v>
      </c>
      <c r="BF24" s="20">
        <f t="shared" si="38"/>
        <v>0.47022772270700613</v>
      </c>
      <c r="BG24" s="20">
        <f t="shared" si="39"/>
        <v>1.126287038188155E-2</v>
      </c>
      <c r="BH24" s="16"/>
      <c r="BI24" s="16">
        <f t="shared" si="19"/>
        <v>845</v>
      </c>
      <c r="BJ24" s="16">
        <f t="shared" si="20"/>
        <v>0</v>
      </c>
      <c r="BK24" s="16">
        <f t="shared" si="21"/>
        <v>0</v>
      </c>
      <c r="BL24" s="16"/>
      <c r="BM24" s="16">
        <f t="shared" si="40"/>
        <v>845</v>
      </c>
      <c r="BN24" s="22">
        <f t="shared" si="48"/>
        <v>0.81171950048030739</v>
      </c>
      <c r="BO24" s="19">
        <f t="shared" si="49"/>
        <v>0.78677839851024212</v>
      </c>
    </row>
    <row r="25" spans="1:67" s="9" customFormat="1" ht="13" customHeight="1" x14ac:dyDescent="0.15">
      <c r="A25" s="15"/>
      <c r="B25" s="23"/>
      <c r="D25" s="38">
        <f t="shared" si="41"/>
        <v>20</v>
      </c>
      <c r="E25" s="41">
        <f t="shared" si="22"/>
        <v>43931</v>
      </c>
      <c r="F25" s="16"/>
      <c r="G25" s="17">
        <f t="shared" si="23"/>
        <v>0.49403254374203376</v>
      </c>
      <c r="H25" s="40">
        <f t="shared" si="0"/>
        <v>80.806689652693763</v>
      </c>
      <c r="I25" s="16">
        <f t="shared" si="24"/>
        <v>181233</v>
      </c>
      <c r="J25" s="16">
        <f>SUM(I$5:I25)</f>
        <v>2043140</v>
      </c>
      <c r="K25" s="16"/>
      <c r="L25" s="18">
        <f t="shared" ca="1" si="25"/>
        <v>0.81171950048030739</v>
      </c>
      <c r="M25" s="40">
        <f t="shared" ca="1" si="1"/>
        <v>73.215893497754877</v>
      </c>
      <c r="N25" s="16">
        <f t="shared" ca="1" si="2"/>
        <v>1041</v>
      </c>
      <c r="O25" s="16">
        <f ca="1">SUM(N$5:N25)</f>
        <v>17432</v>
      </c>
      <c r="P25" s="16"/>
      <c r="Q25" s="19">
        <f t="shared" ca="1" si="26"/>
        <v>8.5319655040770586E-3</v>
      </c>
      <c r="R25" s="16"/>
      <c r="S25" s="16">
        <f t="shared" ca="1" si="3"/>
        <v>1342</v>
      </c>
      <c r="T25" s="19">
        <f t="shared" ca="1" si="27"/>
        <v>0.77570789865871836</v>
      </c>
      <c r="U25" s="35"/>
      <c r="V25" s="30">
        <f t="shared" si="4"/>
        <v>0.7</v>
      </c>
      <c r="W25" s="16">
        <f t="shared" si="5"/>
        <v>7956860</v>
      </c>
      <c r="X25" s="16"/>
      <c r="Y25" s="16">
        <f t="shared" si="6"/>
        <v>18123</v>
      </c>
      <c r="Z25" s="16">
        <f t="shared" si="7"/>
        <v>108740</v>
      </c>
      <c r="AA25" s="16">
        <f t="shared" si="8"/>
        <v>54370</v>
      </c>
      <c r="AB25" s="16"/>
      <c r="AC25" s="16">
        <f t="shared" si="9"/>
        <v>27942</v>
      </c>
      <c r="AD25" s="16">
        <f t="shared" si="10"/>
        <v>354209</v>
      </c>
      <c r="AE25" s="16">
        <f t="shared" si="11"/>
        <v>9617849</v>
      </c>
      <c r="AF25" s="16"/>
      <c r="AG25" s="16">
        <f>ROUND(AC25*Desire_severe*(1-SUM($BA$5:$BC24)/Population),0)</f>
        <v>27591</v>
      </c>
      <c r="AH25" s="16">
        <f>ROUND(AD25*Desire_mild*(1-SUM($BA$5:$BC24)/Population),0)</f>
        <v>174878</v>
      </c>
      <c r="AI25" s="16">
        <f>ROUND(AE25*Desire_asy*(1-SUM($BA$5:$BC24)/Population),0)</f>
        <v>189939</v>
      </c>
      <c r="AJ25" s="16"/>
      <c r="AK25" s="16">
        <f t="shared" si="42"/>
        <v>859</v>
      </c>
      <c r="AL25" s="16">
        <f t="shared" si="13"/>
        <v>859</v>
      </c>
      <c r="AM25" s="16">
        <f t="shared" si="28"/>
        <v>0</v>
      </c>
      <c r="AN25" s="16"/>
      <c r="AO25" s="16">
        <f t="shared" si="43"/>
        <v>859</v>
      </c>
      <c r="AP25" s="16">
        <f t="shared" si="44"/>
        <v>0</v>
      </c>
      <c r="AQ25" s="16">
        <f t="shared" si="29"/>
        <v>0</v>
      </c>
      <c r="AR25" s="16"/>
      <c r="AS25" s="16">
        <f t="shared" si="45"/>
        <v>26732</v>
      </c>
      <c r="AT25" s="16">
        <f t="shared" si="46"/>
        <v>174878</v>
      </c>
      <c r="AU25" s="16">
        <f t="shared" si="47"/>
        <v>189939</v>
      </c>
      <c r="AV25" s="16"/>
      <c r="AW25" s="16">
        <f t="shared" si="31"/>
        <v>0</v>
      </c>
      <c r="AX25" s="16">
        <f t="shared" si="32"/>
        <v>0</v>
      </c>
      <c r="AY25" s="16">
        <f t="shared" si="33"/>
        <v>0</v>
      </c>
      <c r="AZ25" s="16"/>
      <c r="BA25" s="16">
        <f t="shared" si="34"/>
        <v>859</v>
      </c>
      <c r="BB25" s="16">
        <f t="shared" si="35"/>
        <v>0</v>
      </c>
      <c r="BC25" s="16">
        <f t="shared" si="36"/>
        <v>0</v>
      </c>
      <c r="BD25" s="16"/>
      <c r="BE25" s="20">
        <f t="shared" si="37"/>
        <v>0.64859351513850116</v>
      </c>
      <c r="BF25" s="20">
        <f t="shared" si="38"/>
        <v>0.30699389343579636</v>
      </c>
      <c r="BG25" s="20">
        <f t="shared" si="39"/>
        <v>5.6530311507281931E-3</v>
      </c>
      <c r="BH25" s="16"/>
      <c r="BI25" s="16">
        <f t="shared" si="19"/>
        <v>558</v>
      </c>
      <c r="BJ25" s="16">
        <f t="shared" si="20"/>
        <v>0</v>
      </c>
      <c r="BK25" s="16">
        <f t="shared" si="21"/>
        <v>0</v>
      </c>
      <c r="BL25" s="16"/>
      <c r="BM25" s="16">
        <f t="shared" si="40"/>
        <v>558</v>
      </c>
      <c r="BN25" s="22">
        <f t="shared" si="48"/>
        <v>0.66035502958579884</v>
      </c>
      <c r="BO25" s="19">
        <f t="shared" si="49"/>
        <v>0.64959254947613509</v>
      </c>
    </row>
    <row r="26" spans="1:67" s="9" customFormat="1" ht="13" customHeight="1" x14ac:dyDescent="0.15">
      <c r="A26" s="15" t="s">
        <v>48</v>
      </c>
      <c r="B26" s="23">
        <v>1</v>
      </c>
      <c r="D26" s="38">
        <f t="shared" si="41"/>
        <v>21</v>
      </c>
      <c r="E26" s="41">
        <f t="shared" si="22"/>
        <v>43936</v>
      </c>
      <c r="F26" s="16"/>
      <c r="G26" s="17">
        <f t="shared" si="23"/>
        <v>0.48711676997822079</v>
      </c>
      <c r="H26" s="40">
        <f t="shared" si="0"/>
        <v>171.19756551442993</v>
      </c>
      <c r="I26" s="16">
        <f t="shared" si="24"/>
        <v>89535</v>
      </c>
      <c r="J26" s="16">
        <f>SUM(I$5:I26)</f>
        <v>2132675</v>
      </c>
      <c r="K26" s="16"/>
      <c r="L26" s="18">
        <f t="shared" ca="1" si="25"/>
        <v>0.66035502958579884</v>
      </c>
      <c r="M26" s="40">
        <f t="shared" ca="1" si="1"/>
        <v>115.24256085042015</v>
      </c>
      <c r="N26" s="16">
        <f t="shared" ca="1" si="2"/>
        <v>845</v>
      </c>
      <c r="O26" s="16">
        <f ca="1">SUM(N$5:N26)</f>
        <v>18277</v>
      </c>
      <c r="P26" s="16"/>
      <c r="Q26" s="19">
        <f t="shared" ca="1" si="26"/>
        <v>8.5699883948562247E-3</v>
      </c>
      <c r="R26" s="16"/>
      <c r="S26" s="16">
        <f t="shared" ca="1" si="3"/>
        <v>1074</v>
      </c>
      <c r="T26" s="19">
        <f t="shared" ca="1" si="27"/>
        <v>0.78677839851024212</v>
      </c>
      <c r="U26" s="35"/>
      <c r="V26" s="30">
        <f t="shared" si="4"/>
        <v>0.7</v>
      </c>
      <c r="W26" s="16">
        <f t="shared" si="5"/>
        <v>7867325</v>
      </c>
      <c r="X26" s="16"/>
      <c r="Y26" s="16">
        <f t="shared" si="6"/>
        <v>8954</v>
      </c>
      <c r="Z26" s="16">
        <f t="shared" si="7"/>
        <v>53721</v>
      </c>
      <c r="AA26" s="16">
        <f t="shared" si="8"/>
        <v>26860</v>
      </c>
      <c r="AB26" s="16"/>
      <c r="AC26" s="16">
        <f t="shared" si="9"/>
        <v>18864</v>
      </c>
      <c r="AD26" s="16">
        <f t="shared" si="10"/>
        <v>301483</v>
      </c>
      <c r="AE26" s="16">
        <f t="shared" si="11"/>
        <v>9679653</v>
      </c>
      <c r="AF26" s="16"/>
      <c r="AG26" s="16">
        <f>ROUND(AC26*Desire_severe*(1-SUM($BA$5:$BC25)/Population),0)</f>
        <v>18625</v>
      </c>
      <c r="AH26" s="16">
        <f>ROUND(AD26*Desire_mild*(1-SUM($BA$5:$BC25)/Population),0)</f>
        <v>148834</v>
      </c>
      <c r="AI26" s="16">
        <f>ROUND(AE26*Desire_asy*(1-SUM($BA$5:$BC25)/Population),0)</f>
        <v>191143</v>
      </c>
      <c r="AJ26" s="16"/>
      <c r="AK26" s="16">
        <f t="shared" si="42"/>
        <v>687</v>
      </c>
      <c r="AL26" s="16">
        <f t="shared" si="13"/>
        <v>687</v>
      </c>
      <c r="AM26" s="16">
        <f t="shared" si="28"/>
        <v>0</v>
      </c>
      <c r="AN26" s="16"/>
      <c r="AO26" s="16">
        <f t="shared" si="43"/>
        <v>687</v>
      </c>
      <c r="AP26" s="16">
        <f t="shared" si="44"/>
        <v>0</v>
      </c>
      <c r="AQ26" s="16">
        <f t="shared" si="29"/>
        <v>0</v>
      </c>
      <c r="AR26" s="16"/>
      <c r="AS26" s="16">
        <f t="shared" si="45"/>
        <v>17938</v>
      </c>
      <c r="AT26" s="16">
        <f t="shared" si="46"/>
        <v>148834</v>
      </c>
      <c r="AU26" s="16">
        <f t="shared" si="47"/>
        <v>191143</v>
      </c>
      <c r="AV26" s="16"/>
      <c r="AW26" s="16">
        <f t="shared" si="31"/>
        <v>0</v>
      </c>
      <c r="AX26" s="16">
        <f t="shared" si="32"/>
        <v>0</v>
      </c>
      <c r="AY26" s="16">
        <f t="shared" si="33"/>
        <v>0</v>
      </c>
      <c r="AZ26" s="16"/>
      <c r="BA26" s="16">
        <f t="shared" si="34"/>
        <v>687</v>
      </c>
      <c r="BB26" s="16">
        <f t="shared" si="35"/>
        <v>0</v>
      </c>
      <c r="BC26" s="16">
        <f t="shared" si="36"/>
        <v>0</v>
      </c>
      <c r="BD26" s="16"/>
      <c r="BE26" s="20">
        <f t="shared" si="37"/>
        <v>0.47466072943172177</v>
      </c>
      <c r="BF26" s="20">
        <f t="shared" si="38"/>
        <v>0.17818915162712326</v>
      </c>
      <c r="BG26" s="20">
        <f t="shared" si="39"/>
        <v>2.7748928603122448E-3</v>
      </c>
      <c r="BH26" s="16"/>
      <c r="BI26" s="16">
        <f t="shared" si="19"/>
        <v>327</v>
      </c>
      <c r="BJ26" s="16">
        <f t="shared" si="20"/>
        <v>0</v>
      </c>
      <c r="BK26" s="16">
        <f t="shared" si="21"/>
        <v>0</v>
      </c>
      <c r="BL26" s="16"/>
      <c r="BM26" s="16">
        <f t="shared" si="40"/>
        <v>327</v>
      </c>
      <c r="BN26" s="22">
        <f t="shared" si="48"/>
        <v>0.58602150537634412</v>
      </c>
      <c r="BO26" s="19">
        <f t="shared" si="49"/>
        <v>0.4759825327510917</v>
      </c>
    </row>
    <row r="27" spans="1:67" s="9" customFormat="1" ht="13" customHeight="1" x14ac:dyDescent="0.15">
      <c r="A27" s="15" t="s">
        <v>49</v>
      </c>
      <c r="B27" s="23">
        <v>0.5</v>
      </c>
      <c r="D27" s="38">
        <f t="shared" si="41"/>
        <v>22</v>
      </c>
      <c r="E27" s="41">
        <f t="shared" si="22"/>
        <v>43941</v>
      </c>
      <c r="F27" s="16"/>
      <c r="G27" s="17">
        <f t="shared" si="23"/>
        <v>0.48376668042371718</v>
      </c>
      <c r="H27" s="40">
        <f t="shared" si="0"/>
        <v>359.20877341586453</v>
      </c>
      <c r="I27" s="16">
        <f t="shared" si="24"/>
        <v>43614</v>
      </c>
      <c r="J27" s="16">
        <f>SUM(I$5:I27)</f>
        <v>2176289</v>
      </c>
      <c r="K27" s="16"/>
      <c r="L27" s="18">
        <f t="shared" ca="1" si="25"/>
        <v>0.58602150537634412</v>
      </c>
      <c r="M27" s="40">
        <f t="shared" ca="1" si="1"/>
        <v>201.35216515097648</v>
      </c>
      <c r="N27" s="16">
        <f t="shared" ca="1" si="2"/>
        <v>558</v>
      </c>
      <c r="O27" s="16">
        <f ca="1">SUM(N$5:N27)</f>
        <v>18835</v>
      </c>
      <c r="P27" s="16"/>
      <c r="Q27" s="19">
        <f t="shared" ca="1" si="26"/>
        <v>8.6546409966691013E-3</v>
      </c>
      <c r="R27" s="16"/>
      <c r="S27" s="16">
        <f t="shared" ca="1" si="3"/>
        <v>859</v>
      </c>
      <c r="T27" s="19">
        <f t="shared" ca="1" si="27"/>
        <v>0.64959254947613509</v>
      </c>
      <c r="U27" s="35"/>
      <c r="V27" s="30">
        <f t="shared" si="4"/>
        <v>0.7</v>
      </c>
      <c r="W27" s="16">
        <f t="shared" si="5"/>
        <v>7823711</v>
      </c>
      <c r="X27" s="16"/>
      <c r="Y27" s="16">
        <f t="shared" si="6"/>
        <v>4361</v>
      </c>
      <c r="Z27" s="16">
        <f t="shared" si="7"/>
        <v>26168</v>
      </c>
      <c r="AA27" s="16">
        <f t="shared" si="8"/>
        <v>13085</v>
      </c>
      <c r="AB27" s="16"/>
      <c r="AC27" s="16">
        <f t="shared" si="9"/>
        <v>14317</v>
      </c>
      <c r="AD27" s="16">
        <f t="shared" si="10"/>
        <v>275078</v>
      </c>
      <c r="AE27" s="16">
        <f t="shared" si="11"/>
        <v>9710605</v>
      </c>
      <c r="AF27" s="16"/>
      <c r="AG27" s="16">
        <f>ROUND(AC27*Desire_severe*(1-SUM($BA$5:$BC26)/Population),0)</f>
        <v>14135</v>
      </c>
      <c r="AH27" s="16">
        <f>ROUND(AD27*Desire_mild*(1-SUM($BA$5:$BC26)/Population),0)</f>
        <v>135789</v>
      </c>
      <c r="AI27" s="16">
        <f>ROUND(AE27*Desire_asy*(1-SUM($BA$5:$BC26)/Population),0)</f>
        <v>191741</v>
      </c>
      <c r="AJ27" s="16"/>
      <c r="AK27" s="16">
        <f t="shared" si="42"/>
        <v>550</v>
      </c>
      <c r="AL27" s="16">
        <f t="shared" si="13"/>
        <v>550</v>
      </c>
      <c r="AM27" s="16">
        <f t="shared" si="28"/>
        <v>0</v>
      </c>
      <c r="AN27" s="16"/>
      <c r="AO27" s="16">
        <f t="shared" si="43"/>
        <v>550</v>
      </c>
      <c r="AP27" s="16">
        <f t="shared" si="44"/>
        <v>0</v>
      </c>
      <c r="AQ27" s="16">
        <f t="shared" si="29"/>
        <v>0</v>
      </c>
      <c r="AR27" s="16"/>
      <c r="AS27" s="16">
        <f t="shared" si="45"/>
        <v>13585</v>
      </c>
      <c r="AT27" s="16">
        <f t="shared" si="46"/>
        <v>135789</v>
      </c>
      <c r="AU27" s="16">
        <f t="shared" si="47"/>
        <v>191741</v>
      </c>
      <c r="AV27" s="16"/>
      <c r="AW27" s="16">
        <f t="shared" si="31"/>
        <v>0</v>
      </c>
      <c r="AX27" s="16">
        <f t="shared" si="32"/>
        <v>0</v>
      </c>
      <c r="AY27" s="16">
        <f t="shared" si="33"/>
        <v>0</v>
      </c>
      <c r="AZ27" s="16"/>
      <c r="BA27" s="16">
        <f t="shared" si="34"/>
        <v>550</v>
      </c>
      <c r="BB27" s="16">
        <f t="shared" si="35"/>
        <v>0</v>
      </c>
      <c r="BC27" s="16">
        <f t="shared" si="36"/>
        <v>0</v>
      </c>
      <c r="BD27" s="16"/>
      <c r="BE27" s="20">
        <f t="shared" si="37"/>
        <v>0.30460291960606273</v>
      </c>
      <c r="BF27" s="20">
        <f t="shared" si="38"/>
        <v>9.5129381484524392E-2</v>
      </c>
      <c r="BG27" s="20">
        <f t="shared" si="39"/>
        <v>1.347495856334389E-3</v>
      </c>
      <c r="BH27" s="16"/>
      <c r="BI27" s="16">
        <f t="shared" si="19"/>
        <v>169</v>
      </c>
      <c r="BJ27" s="16">
        <f t="shared" si="20"/>
        <v>0</v>
      </c>
      <c r="BK27" s="16">
        <f t="shared" si="21"/>
        <v>0</v>
      </c>
      <c r="BL27" s="16"/>
      <c r="BM27" s="16">
        <f t="shared" si="40"/>
        <v>169</v>
      </c>
      <c r="BN27" s="22">
        <f t="shared" si="48"/>
        <v>0.51681957186544347</v>
      </c>
      <c r="BO27" s="19">
        <f t="shared" si="49"/>
        <v>0.30727272727272725</v>
      </c>
    </row>
    <row r="28" spans="1:67" s="9" customFormat="1" ht="13" customHeight="1" x14ac:dyDescent="0.15">
      <c r="A28" s="15" t="s">
        <v>50</v>
      </c>
      <c r="B28" s="23">
        <v>0.02</v>
      </c>
      <c r="D28" s="38">
        <f t="shared" si="41"/>
        <v>23</v>
      </c>
      <c r="E28" s="41">
        <f t="shared" si="22"/>
        <v>43946</v>
      </c>
      <c r="F28" s="16"/>
      <c r="G28" s="17">
        <f t="shared" si="23"/>
        <v>0.48215555239584812</v>
      </c>
      <c r="H28" s="40">
        <f t="shared" si="0"/>
        <v>750.33730256143622</v>
      </c>
      <c r="I28" s="16">
        <f t="shared" si="24"/>
        <v>21099</v>
      </c>
      <c r="J28" s="16">
        <f>SUM(I$5:I28)</f>
        <v>2197388</v>
      </c>
      <c r="K28" s="16"/>
      <c r="L28" s="18">
        <f t="shared" ca="1" si="25"/>
        <v>0.51681957186544347</v>
      </c>
      <c r="M28" s="40">
        <f t="shared" ca="1" si="1"/>
        <v>394.69146430248475</v>
      </c>
      <c r="N28" s="16">
        <f t="shared" ca="1" si="2"/>
        <v>327</v>
      </c>
      <c r="O28" s="16">
        <f ca="1">SUM(N$5:N28)</f>
        <v>19162</v>
      </c>
      <c r="P28" s="16"/>
      <c r="Q28" s="19">
        <f t="shared" ca="1" si="26"/>
        <v>8.72035343780889E-3</v>
      </c>
      <c r="R28" s="16"/>
      <c r="S28" s="16">
        <f t="shared" ca="1" si="3"/>
        <v>687</v>
      </c>
      <c r="T28" s="19">
        <f t="shared" ca="1" si="27"/>
        <v>0.4759825327510917</v>
      </c>
      <c r="U28" s="35"/>
      <c r="V28" s="30">
        <f t="shared" si="4"/>
        <v>0.7</v>
      </c>
      <c r="W28" s="16">
        <f t="shared" si="5"/>
        <v>7802612</v>
      </c>
      <c r="X28" s="16"/>
      <c r="Y28" s="16">
        <f t="shared" si="6"/>
        <v>2110</v>
      </c>
      <c r="Z28" s="16">
        <f t="shared" si="7"/>
        <v>12659</v>
      </c>
      <c r="AA28" s="16">
        <f t="shared" si="8"/>
        <v>6330</v>
      </c>
      <c r="AB28" s="16"/>
      <c r="AC28" s="16">
        <f t="shared" si="9"/>
        <v>12089</v>
      </c>
      <c r="AD28" s="16">
        <f t="shared" si="10"/>
        <v>262132</v>
      </c>
      <c r="AE28" s="16">
        <f t="shared" si="11"/>
        <v>9725779</v>
      </c>
      <c r="AF28" s="16"/>
      <c r="AG28" s="16">
        <f>ROUND(AC28*Desire_severe*(1-SUM($BA$5:$BC27)/Population),0)</f>
        <v>11934</v>
      </c>
      <c r="AH28" s="16">
        <f>ROUND(AD28*Desire_mild*(1-SUM($BA$5:$BC27)/Population),0)</f>
        <v>129391</v>
      </c>
      <c r="AI28" s="16">
        <f>ROUND(AE28*Desire_asy*(1-SUM($BA$5:$BC27)/Population),0)</f>
        <v>192030</v>
      </c>
      <c r="AJ28" s="16"/>
      <c r="AK28" s="16">
        <f t="shared" si="42"/>
        <v>440</v>
      </c>
      <c r="AL28" s="16">
        <f t="shared" si="13"/>
        <v>440</v>
      </c>
      <c r="AM28" s="16">
        <f t="shared" si="28"/>
        <v>0</v>
      </c>
      <c r="AN28" s="16"/>
      <c r="AO28" s="16">
        <f t="shared" si="43"/>
        <v>440</v>
      </c>
      <c r="AP28" s="16">
        <f t="shared" si="44"/>
        <v>0</v>
      </c>
      <c r="AQ28" s="16">
        <f t="shared" si="29"/>
        <v>0</v>
      </c>
      <c r="AR28" s="16"/>
      <c r="AS28" s="16">
        <f t="shared" si="45"/>
        <v>11494</v>
      </c>
      <c r="AT28" s="16">
        <f t="shared" si="46"/>
        <v>129391</v>
      </c>
      <c r="AU28" s="16">
        <f t="shared" si="47"/>
        <v>192030</v>
      </c>
      <c r="AV28" s="16"/>
      <c r="AW28" s="16">
        <f t="shared" si="31"/>
        <v>0</v>
      </c>
      <c r="AX28" s="16">
        <f t="shared" si="32"/>
        <v>0</v>
      </c>
      <c r="AY28" s="16">
        <f t="shared" si="33"/>
        <v>0</v>
      </c>
      <c r="AZ28" s="16"/>
      <c r="BA28" s="16">
        <f t="shared" si="34"/>
        <v>440</v>
      </c>
      <c r="BB28" s="16">
        <f t="shared" si="35"/>
        <v>0</v>
      </c>
      <c r="BC28" s="16">
        <f t="shared" si="36"/>
        <v>0</v>
      </c>
      <c r="BD28" s="16"/>
      <c r="BE28" s="20">
        <f t="shared" si="37"/>
        <v>0.17453883695921912</v>
      </c>
      <c r="BF28" s="20">
        <f t="shared" si="38"/>
        <v>4.8292463339081076E-2</v>
      </c>
      <c r="BG28" s="20">
        <f t="shared" si="39"/>
        <v>6.5084760819673155E-4</v>
      </c>
      <c r="BH28" s="16"/>
      <c r="BI28" s="16">
        <f t="shared" si="19"/>
        <v>78</v>
      </c>
      <c r="BJ28" s="16">
        <f t="shared" si="20"/>
        <v>0</v>
      </c>
      <c r="BK28" s="16">
        <f t="shared" si="21"/>
        <v>0</v>
      </c>
      <c r="BL28" s="16"/>
      <c r="BM28" s="16">
        <f t="shared" si="40"/>
        <v>78</v>
      </c>
      <c r="BN28" s="22">
        <f t="shared" si="48"/>
        <v>0.46153846153846156</v>
      </c>
      <c r="BO28" s="19">
        <f t="shared" si="49"/>
        <v>0.17727272727272728</v>
      </c>
    </row>
    <row r="29" spans="1:67" s="9" customFormat="1" ht="13" customHeight="1" x14ac:dyDescent="0.15">
      <c r="B29" s="8"/>
      <c r="D29" s="38">
        <f t="shared" si="41"/>
        <v>24</v>
      </c>
      <c r="E29" s="41">
        <f t="shared" si="22"/>
        <v>43951</v>
      </c>
      <c r="F29" s="16"/>
      <c r="G29" s="17">
        <f t="shared" si="23"/>
        <v>0.48137225990366656</v>
      </c>
      <c r="H29" s="40">
        <f t="shared" si="0"/>
        <v>1564.081301983276</v>
      </c>
      <c r="I29" s="16">
        <f t="shared" si="24"/>
        <v>10173</v>
      </c>
      <c r="J29" s="16">
        <f>SUM(I$5:I29)</f>
        <v>2207561</v>
      </c>
      <c r="K29" s="16"/>
      <c r="L29" s="18">
        <f t="shared" ca="1" si="25"/>
        <v>0.46153846153846156</v>
      </c>
      <c r="M29" s="40">
        <f t="shared" ca="1" si="1"/>
        <v>860.65658619540181</v>
      </c>
      <c r="N29" s="16">
        <f t="shared" ca="1" si="2"/>
        <v>169</v>
      </c>
      <c r="O29" s="16">
        <f ca="1">SUM(N$5:N29)</f>
        <v>19331</v>
      </c>
      <c r="P29" s="16"/>
      <c r="Q29" s="19">
        <f t="shared" ca="1" si="26"/>
        <v>8.7567229172829195E-3</v>
      </c>
      <c r="R29" s="16"/>
      <c r="S29" s="16">
        <f t="shared" ca="1" si="3"/>
        <v>550</v>
      </c>
      <c r="T29" s="19">
        <f t="shared" ca="1" si="27"/>
        <v>0.30727272727272725</v>
      </c>
      <c r="U29" s="35"/>
      <c r="V29" s="30">
        <f t="shared" si="4"/>
        <v>0.7</v>
      </c>
      <c r="W29" s="16">
        <f t="shared" si="5"/>
        <v>7792439</v>
      </c>
      <c r="X29" s="16"/>
      <c r="Y29" s="16">
        <f t="shared" si="6"/>
        <v>1017</v>
      </c>
      <c r="Z29" s="16">
        <f t="shared" si="7"/>
        <v>6104</v>
      </c>
      <c r="AA29" s="16">
        <f t="shared" si="8"/>
        <v>3052</v>
      </c>
      <c r="AB29" s="16"/>
      <c r="AC29" s="16">
        <f t="shared" si="9"/>
        <v>11007</v>
      </c>
      <c r="AD29" s="16">
        <f t="shared" si="10"/>
        <v>255850</v>
      </c>
      <c r="AE29" s="16">
        <f t="shared" si="11"/>
        <v>9733143</v>
      </c>
      <c r="AF29" s="16"/>
      <c r="AG29" s="16">
        <f>ROUND(AC29*Desire_severe*(1-SUM($BA$5:$BC28)/Population),0)</f>
        <v>10866</v>
      </c>
      <c r="AH29" s="16">
        <f>ROUND(AD29*Desire_mild*(1-SUM($BA$5:$BC28)/Population),0)</f>
        <v>126284</v>
      </c>
      <c r="AI29" s="16">
        <f>ROUND(AE29*Desire_asy*(1-SUM($BA$5:$BC28)/Population),0)</f>
        <v>192166</v>
      </c>
      <c r="AJ29" s="16"/>
      <c r="AK29" s="16">
        <f t="shared" si="42"/>
        <v>352</v>
      </c>
      <c r="AL29" s="16">
        <f t="shared" si="13"/>
        <v>352</v>
      </c>
      <c r="AM29" s="16">
        <f t="shared" si="28"/>
        <v>0</v>
      </c>
      <c r="AN29" s="16"/>
      <c r="AO29" s="16">
        <f t="shared" si="43"/>
        <v>352</v>
      </c>
      <c r="AP29" s="16">
        <f t="shared" si="44"/>
        <v>0</v>
      </c>
      <c r="AQ29" s="16">
        <f t="shared" si="29"/>
        <v>0</v>
      </c>
      <c r="AR29" s="16"/>
      <c r="AS29" s="16">
        <f t="shared" si="45"/>
        <v>10514</v>
      </c>
      <c r="AT29" s="16">
        <f t="shared" si="46"/>
        <v>126284</v>
      </c>
      <c r="AU29" s="16">
        <f t="shared" si="47"/>
        <v>192166</v>
      </c>
      <c r="AV29" s="16"/>
      <c r="AW29" s="16">
        <f t="shared" si="31"/>
        <v>0</v>
      </c>
      <c r="AX29" s="16">
        <f t="shared" si="32"/>
        <v>0</v>
      </c>
      <c r="AY29" s="16">
        <f t="shared" si="33"/>
        <v>0</v>
      </c>
      <c r="AZ29" s="16"/>
      <c r="BA29" s="16">
        <f t="shared" si="34"/>
        <v>352</v>
      </c>
      <c r="BB29" s="16">
        <f t="shared" si="35"/>
        <v>0</v>
      </c>
      <c r="BC29" s="16">
        <f t="shared" si="36"/>
        <v>0</v>
      </c>
      <c r="BD29" s="16"/>
      <c r="BE29" s="20">
        <f t="shared" si="37"/>
        <v>9.2395748160261651E-2</v>
      </c>
      <c r="BF29" s="20">
        <f t="shared" si="38"/>
        <v>2.3857729138166896E-2</v>
      </c>
      <c r="BG29" s="20">
        <f t="shared" si="39"/>
        <v>3.1356777558903636E-4</v>
      </c>
      <c r="BH29" s="16"/>
      <c r="BI29" s="16">
        <f t="shared" si="19"/>
        <v>34</v>
      </c>
      <c r="BJ29" s="16">
        <f t="shared" si="20"/>
        <v>0</v>
      </c>
      <c r="BK29" s="16">
        <f t="shared" si="21"/>
        <v>0</v>
      </c>
      <c r="BL29" s="16"/>
      <c r="BM29" s="16">
        <f t="shared" si="40"/>
        <v>34</v>
      </c>
      <c r="BN29" s="22">
        <f t="shared" si="48"/>
        <v>0.4358974358974359</v>
      </c>
      <c r="BO29" s="19">
        <f t="shared" si="49"/>
        <v>9.6590909090909088E-2</v>
      </c>
    </row>
    <row r="30" spans="1:67" s="9" customFormat="1" ht="13" customHeight="1" x14ac:dyDescent="0.15">
      <c r="A30" s="7" t="s">
        <v>3</v>
      </c>
      <c r="B30" s="8"/>
      <c r="D30" s="38">
        <f t="shared" si="41"/>
        <v>25</v>
      </c>
      <c r="E30" s="41">
        <f t="shared" si="22"/>
        <v>43956</v>
      </c>
      <c r="F30" s="16"/>
      <c r="G30" s="17">
        <f t="shared" si="23"/>
        <v>0.4809066775576884</v>
      </c>
      <c r="H30" s="40">
        <f t="shared" si="0"/>
        <v>3257.6965199478209</v>
      </c>
      <c r="I30" s="16">
        <f t="shared" si="24"/>
        <v>4897</v>
      </c>
      <c r="J30" s="16">
        <f>SUM(I$5:I30)</f>
        <v>2212458</v>
      </c>
      <c r="K30" s="16"/>
      <c r="L30" s="18">
        <f t="shared" ca="1" si="25"/>
        <v>0.4358974358974359</v>
      </c>
      <c r="M30" s="40">
        <f t="shared" ca="1" si="1"/>
        <v>1980.1578959187491</v>
      </c>
      <c r="N30" s="16">
        <f t="shared" ca="1" si="2"/>
        <v>78</v>
      </c>
      <c r="O30" s="16">
        <f ca="1">SUM(N$5:N30)</f>
        <v>19409</v>
      </c>
      <c r="P30" s="16"/>
      <c r="Q30" s="19">
        <f t="shared" ca="1" si="26"/>
        <v>8.7725959091652806E-3</v>
      </c>
      <c r="R30" s="16"/>
      <c r="S30" s="16">
        <f t="shared" ca="1" si="3"/>
        <v>440</v>
      </c>
      <c r="T30" s="19">
        <f t="shared" ca="1" si="27"/>
        <v>0.17727272727272728</v>
      </c>
      <c r="U30" s="35"/>
      <c r="V30" s="30">
        <f t="shared" si="4"/>
        <v>0.7</v>
      </c>
      <c r="W30" s="16">
        <f t="shared" si="5"/>
        <v>7787542</v>
      </c>
      <c r="X30" s="16"/>
      <c r="Y30" s="16">
        <f t="shared" si="6"/>
        <v>490</v>
      </c>
      <c r="Z30" s="16">
        <f t="shared" si="7"/>
        <v>2938</v>
      </c>
      <c r="AA30" s="16">
        <f t="shared" si="8"/>
        <v>1469</v>
      </c>
      <c r="AB30" s="16"/>
      <c r="AC30" s="16">
        <f t="shared" si="9"/>
        <v>10485</v>
      </c>
      <c r="AD30" s="16">
        <f t="shared" si="10"/>
        <v>252816</v>
      </c>
      <c r="AE30" s="16">
        <f t="shared" si="11"/>
        <v>9736699</v>
      </c>
      <c r="AF30" s="16"/>
      <c r="AG30" s="16">
        <f>ROUND(AC30*Desire_severe*(1-SUM($BA$5:$BC29)/Population),0)</f>
        <v>10350</v>
      </c>
      <c r="AH30" s="16">
        <f>ROUND(AD30*Desire_mild*(1-SUM($BA$5:$BC29)/Population),0)</f>
        <v>124782</v>
      </c>
      <c r="AI30" s="16">
        <f>ROUND(AE30*Desire_asy*(1-SUM($BA$5:$BC29)/Population),0)</f>
        <v>192230</v>
      </c>
      <c r="AJ30" s="16"/>
      <c r="AK30" s="16">
        <f t="shared" si="42"/>
        <v>282</v>
      </c>
      <c r="AL30" s="16">
        <f t="shared" si="13"/>
        <v>282</v>
      </c>
      <c r="AM30" s="16">
        <f t="shared" si="28"/>
        <v>0</v>
      </c>
      <c r="AN30" s="16"/>
      <c r="AO30" s="16">
        <f t="shared" si="43"/>
        <v>282</v>
      </c>
      <c r="AP30" s="16">
        <f t="shared" si="44"/>
        <v>0</v>
      </c>
      <c r="AQ30" s="16">
        <f t="shared" si="29"/>
        <v>0</v>
      </c>
      <c r="AR30" s="16"/>
      <c r="AS30" s="16">
        <f t="shared" si="45"/>
        <v>10068</v>
      </c>
      <c r="AT30" s="16">
        <f t="shared" si="46"/>
        <v>124782</v>
      </c>
      <c r="AU30" s="16">
        <f t="shared" si="47"/>
        <v>192230</v>
      </c>
      <c r="AV30" s="16"/>
      <c r="AW30" s="16">
        <f t="shared" si="31"/>
        <v>0</v>
      </c>
      <c r="AX30" s="16">
        <f t="shared" si="32"/>
        <v>0</v>
      </c>
      <c r="AY30" s="16">
        <f t="shared" si="33"/>
        <v>0</v>
      </c>
      <c r="AZ30" s="16"/>
      <c r="BA30" s="16">
        <f t="shared" si="34"/>
        <v>282</v>
      </c>
      <c r="BB30" s="16">
        <f t="shared" si="35"/>
        <v>0</v>
      </c>
      <c r="BC30" s="16">
        <f t="shared" si="36"/>
        <v>0</v>
      </c>
      <c r="BD30" s="16"/>
      <c r="BE30" s="20">
        <f t="shared" si="37"/>
        <v>4.6733428707677632E-2</v>
      </c>
      <c r="BF30" s="20">
        <f t="shared" si="38"/>
        <v>1.1621099930384153E-2</v>
      </c>
      <c r="BG30" s="20">
        <f t="shared" si="39"/>
        <v>1.508724876880758E-4</v>
      </c>
      <c r="BH30" s="16"/>
      <c r="BI30" s="16">
        <f t="shared" si="19"/>
        <v>14</v>
      </c>
      <c r="BJ30" s="16">
        <f t="shared" si="20"/>
        <v>0</v>
      </c>
      <c r="BK30" s="16">
        <f t="shared" si="21"/>
        <v>0</v>
      </c>
      <c r="BL30" s="16"/>
      <c r="BM30" s="16">
        <f t="shared" si="40"/>
        <v>14</v>
      </c>
      <c r="BN30" s="22">
        <f t="shared" si="48"/>
        <v>0.41176470588235292</v>
      </c>
      <c r="BO30" s="19">
        <f t="shared" si="49"/>
        <v>4.9645390070921988E-2</v>
      </c>
    </row>
    <row r="31" spans="1:67" s="9" customFormat="1" ht="13" customHeight="1" x14ac:dyDescent="0.15">
      <c r="A31" s="15" t="s">
        <v>51</v>
      </c>
      <c r="B31" s="25">
        <v>10000</v>
      </c>
      <c r="D31" s="38">
        <f t="shared" si="41"/>
        <v>26</v>
      </c>
      <c r="E31" s="41">
        <f t="shared" si="22"/>
        <v>43961</v>
      </c>
      <c r="F31" s="16"/>
      <c r="G31" s="17">
        <f t="shared" si="23"/>
        <v>0.48067940552016986</v>
      </c>
      <c r="H31" s="40">
        <f t="shared" si="0"/>
        <v>6782.6134024320945</v>
      </c>
      <c r="I31" s="16">
        <f t="shared" si="24"/>
        <v>2355</v>
      </c>
      <c r="J31" s="16">
        <f>SUM(I$5:I31)</f>
        <v>2214813</v>
      </c>
      <c r="K31" s="16"/>
      <c r="L31" s="18">
        <f t="shared" ca="1" si="25"/>
        <v>0.41176470588235292</v>
      </c>
      <c r="M31" s="40">
        <f t="shared" ca="1" si="1"/>
        <v>4814.8971713617384</v>
      </c>
      <c r="N31" s="16">
        <f t="shared" ca="1" si="2"/>
        <v>34</v>
      </c>
      <c r="O31" s="16">
        <f ca="1">SUM(N$5:N31)</f>
        <v>19443</v>
      </c>
      <c r="P31" s="16"/>
      <c r="Q31" s="19">
        <f t="shared" ca="1" si="26"/>
        <v>8.7786192333167631E-3</v>
      </c>
      <c r="R31" s="16"/>
      <c r="S31" s="16">
        <f t="shared" ca="1" si="3"/>
        <v>352</v>
      </c>
      <c r="T31" s="19">
        <f t="shared" ca="1" si="27"/>
        <v>9.6590909090909088E-2</v>
      </c>
      <c r="U31" s="35"/>
      <c r="V31" s="30">
        <f t="shared" si="4"/>
        <v>0.7</v>
      </c>
      <c r="W31" s="16">
        <f t="shared" si="5"/>
        <v>7785187</v>
      </c>
      <c r="X31" s="16"/>
      <c r="Y31" s="16">
        <f t="shared" si="6"/>
        <v>236</v>
      </c>
      <c r="Z31" s="16">
        <f t="shared" si="7"/>
        <v>1413</v>
      </c>
      <c r="AA31" s="16">
        <f t="shared" si="8"/>
        <v>706</v>
      </c>
      <c r="AB31" s="16"/>
      <c r="AC31" s="16">
        <f t="shared" si="9"/>
        <v>10234</v>
      </c>
      <c r="AD31" s="16">
        <f t="shared" si="10"/>
        <v>251354</v>
      </c>
      <c r="AE31" s="16">
        <f t="shared" si="11"/>
        <v>9738412</v>
      </c>
      <c r="AF31" s="16"/>
      <c r="AG31" s="16">
        <f>ROUND(AC31*Desire_severe*(1-SUM($BA$5:$BC30)/Population),0)</f>
        <v>10102</v>
      </c>
      <c r="AH31" s="16">
        <f>ROUND(AD31*Desire_mild*(1-SUM($BA$5:$BC30)/Population),0)</f>
        <v>124057</v>
      </c>
      <c r="AI31" s="16">
        <f>ROUND(AE31*Desire_asy*(1-SUM($BA$5:$BC30)/Population),0)</f>
        <v>192258</v>
      </c>
      <c r="AJ31" s="16"/>
      <c r="AK31" s="16">
        <f t="shared" si="42"/>
        <v>226</v>
      </c>
      <c r="AL31" s="16">
        <f t="shared" si="13"/>
        <v>226</v>
      </c>
      <c r="AM31" s="16">
        <f t="shared" si="28"/>
        <v>0</v>
      </c>
      <c r="AN31" s="16"/>
      <c r="AO31" s="16">
        <f t="shared" si="43"/>
        <v>226</v>
      </c>
      <c r="AP31" s="16">
        <f t="shared" si="44"/>
        <v>0</v>
      </c>
      <c r="AQ31" s="16">
        <f t="shared" si="29"/>
        <v>0</v>
      </c>
      <c r="AR31" s="16"/>
      <c r="AS31" s="16">
        <f t="shared" si="45"/>
        <v>9876</v>
      </c>
      <c r="AT31" s="16">
        <f t="shared" si="46"/>
        <v>124057</v>
      </c>
      <c r="AU31" s="16">
        <f t="shared" si="47"/>
        <v>192258</v>
      </c>
      <c r="AV31" s="16"/>
      <c r="AW31" s="16">
        <f t="shared" si="31"/>
        <v>0</v>
      </c>
      <c r="AX31" s="16">
        <f t="shared" si="32"/>
        <v>0</v>
      </c>
      <c r="AY31" s="16">
        <f t="shared" si="33"/>
        <v>0</v>
      </c>
      <c r="AZ31" s="16"/>
      <c r="BA31" s="16">
        <f t="shared" si="34"/>
        <v>226</v>
      </c>
      <c r="BB31" s="16">
        <f t="shared" si="35"/>
        <v>0</v>
      </c>
      <c r="BC31" s="16">
        <f t="shared" si="36"/>
        <v>0</v>
      </c>
      <c r="BD31" s="16"/>
      <c r="BE31" s="20">
        <f t="shared" si="37"/>
        <v>2.3060386945475866E-2</v>
      </c>
      <c r="BF31" s="20">
        <f t="shared" si="38"/>
        <v>5.621553665348473E-3</v>
      </c>
      <c r="BG31" s="20">
        <f t="shared" si="39"/>
        <v>7.249641933407623E-5</v>
      </c>
      <c r="BH31" s="16"/>
      <c r="BI31" s="16">
        <f t="shared" si="19"/>
        <v>5</v>
      </c>
      <c r="BJ31" s="16">
        <f t="shared" si="20"/>
        <v>0</v>
      </c>
      <c r="BK31" s="16">
        <f t="shared" si="21"/>
        <v>0</v>
      </c>
      <c r="BL31" s="16"/>
      <c r="BM31" s="16">
        <f t="shared" si="40"/>
        <v>5</v>
      </c>
      <c r="BN31" s="22">
        <f t="shared" si="48"/>
        <v>0.35714285714285715</v>
      </c>
      <c r="BO31" s="19">
        <f t="shared" si="49"/>
        <v>2.2123893805309734E-2</v>
      </c>
    </row>
    <row r="32" spans="1:67" s="9" customFormat="1" ht="13" customHeight="1" x14ac:dyDescent="0.15">
      <c r="A32" s="15" t="s">
        <v>57</v>
      </c>
      <c r="B32" s="8">
        <v>10</v>
      </c>
      <c r="D32" s="38">
        <f t="shared" si="41"/>
        <v>27</v>
      </c>
      <c r="E32" s="41">
        <f t="shared" si="22"/>
        <v>43966</v>
      </c>
      <c r="F32" s="16"/>
      <c r="G32" s="17">
        <f t="shared" si="23"/>
        <v>0.48056537102473496</v>
      </c>
      <c r="H32" s="40">
        <f t="shared" si="0"/>
        <v>14119.159534423929</v>
      </c>
      <c r="I32" s="16">
        <f t="shared" si="24"/>
        <v>1132</v>
      </c>
      <c r="J32" s="16">
        <f>SUM(I$5:I32)</f>
        <v>2215945</v>
      </c>
      <c r="K32" s="16"/>
      <c r="L32" s="18">
        <f t="shared" ca="1" si="25"/>
        <v>0.35714285714285715</v>
      </c>
      <c r="M32" s="40">
        <f t="shared" ca="1" si="1"/>
        <v>13488.297485892601</v>
      </c>
      <c r="N32" s="16">
        <f t="shared" ca="1" si="2"/>
        <v>14</v>
      </c>
      <c r="O32" s="16">
        <f ca="1">SUM(N$5:N32)</f>
        <v>19457</v>
      </c>
      <c r="P32" s="16"/>
      <c r="Q32" s="19">
        <f t="shared" ca="1" si="26"/>
        <v>8.7804525834350583E-3</v>
      </c>
      <c r="R32" s="16"/>
      <c r="S32" s="16">
        <f t="shared" ca="1" si="3"/>
        <v>282</v>
      </c>
      <c r="T32" s="19">
        <f t="shared" ca="1" si="27"/>
        <v>4.9645390070921988E-2</v>
      </c>
      <c r="U32" s="35"/>
      <c r="V32" s="30">
        <f t="shared" si="4"/>
        <v>0.7</v>
      </c>
      <c r="W32" s="16">
        <f t="shared" si="5"/>
        <v>7784055</v>
      </c>
      <c r="X32" s="16"/>
      <c r="Y32" s="16">
        <f t="shared" si="6"/>
        <v>113</v>
      </c>
      <c r="Z32" s="16">
        <f t="shared" si="7"/>
        <v>679</v>
      </c>
      <c r="AA32" s="16">
        <f t="shared" si="8"/>
        <v>340</v>
      </c>
      <c r="AB32" s="16"/>
      <c r="AC32" s="16">
        <f t="shared" si="9"/>
        <v>10112</v>
      </c>
      <c r="AD32" s="16">
        <f t="shared" si="10"/>
        <v>250651</v>
      </c>
      <c r="AE32" s="16">
        <f t="shared" si="11"/>
        <v>9739237</v>
      </c>
      <c r="AF32" s="16"/>
      <c r="AG32" s="16">
        <f>ROUND(AC32*Desire_severe*(1-SUM($BA$5:$BC31)/Population),0)</f>
        <v>9981</v>
      </c>
      <c r="AH32" s="16">
        <f>ROUND(AD32*Desire_mild*(1-SUM($BA$5:$BC31)/Population),0)</f>
        <v>123708</v>
      </c>
      <c r="AI32" s="16">
        <f>ROUND(AE32*Desire_asy*(1-SUM($BA$5:$BC31)/Population),0)</f>
        <v>192270</v>
      </c>
      <c r="AJ32" s="16"/>
      <c r="AK32" s="16">
        <f t="shared" si="42"/>
        <v>181</v>
      </c>
      <c r="AL32" s="16">
        <f t="shared" si="13"/>
        <v>181</v>
      </c>
      <c r="AM32" s="16">
        <f t="shared" si="28"/>
        <v>0</v>
      </c>
      <c r="AN32" s="16"/>
      <c r="AO32" s="16">
        <f t="shared" si="43"/>
        <v>181</v>
      </c>
      <c r="AP32" s="16">
        <f t="shared" si="44"/>
        <v>0</v>
      </c>
      <c r="AQ32" s="16">
        <f t="shared" si="29"/>
        <v>0</v>
      </c>
      <c r="AR32" s="16"/>
      <c r="AS32" s="16">
        <f t="shared" si="45"/>
        <v>9800</v>
      </c>
      <c r="AT32" s="16">
        <f t="shared" si="46"/>
        <v>123708</v>
      </c>
      <c r="AU32" s="16">
        <f t="shared" si="47"/>
        <v>192270</v>
      </c>
      <c r="AV32" s="16"/>
      <c r="AW32" s="16">
        <f t="shared" si="31"/>
        <v>0</v>
      </c>
      <c r="AX32" s="16">
        <f t="shared" si="32"/>
        <v>0</v>
      </c>
      <c r="AY32" s="16">
        <f t="shared" si="33"/>
        <v>0</v>
      </c>
      <c r="AZ32" s="16"/>
      <c r="BA32" s="16">
        <f t="shared" si="34"/>
        <v>181</v>
      </c>
      <c r="BB32" s="16">
        <f t="shared" si="35"/>
        <v>0</v>
      </c>
      <c r="BC32" s="16">
        <f t="shared" si="36"/>
        <v>0</v>
      </c>
      <c r="BD32" s="16"/>
      <c r="BE32" s="20">
        <f t="shared" si="37"/>
        <v>1.1174841772151899E-2</v>
      </c>
      <c r="BF32" s="20">
        <f t="shared" si="38"/>
        <v>2.7089459048637347E-3</v>
      </c>
      <c r="BG32" s="20">
        <f t="shared" si="39"/>
        <v>3.4910332298105078E-5</v>
      </c>
      <c r="BH32" s="16"/>
      <c r="BI32" s="16">
        <f t="shared" si="19"/>
        <v>2</v>
      </c>
      <c r="BJ32" s="16">
        <f t="shared" si="20"/>
        <v>0</v>
      </c>
      <c r="BK32" s="16">
        <f t="shared" si="21"/>
        <v>0</v>
      </c>
      <c r="BL32" s="16"/>
      <c r="BM32" s="16">
        <f t="shared" si="40"/>
        <v>2</v>
      </c>
      <c r="BN32" s="22">
        <f t="shared" si="48"/>
        <v>0.4</v>
      </c>
      <c r="BO32" s="19">
        <f t="shared" si="49"/>
        <v>1.1049723756906077E-2</v>
      </c>
    </row>
    <row r="33" spans="1:67" s="9" customFormat="1" ht="13" customHeight="1" x14ac:dyDescent="0.15">
      <c r="A33" s="15" t="s">
        <v>52</v>
      </c>
      <c r="B33" s="23">
        <v>-0.2</v>
      </c>
      <c r="D33" s="38">
        <f t="shared" si="41"/>
        <v>28</v>
      </c>
      <c r="E33" s="41">
        <f t="shared" si="22"/>
        <v>43971</v>
      </c>
      <c r="F33" s="16"/>
      <c r="G33" s="17">
        <f t="shared" si="23"/>
        <v>0.4797794117647059</v>
      </c>
      <c r="H33" s="40">
        <f t="shared" si="0"/>
        <v>29433.784579023093</v>
      </c>
      <c r="I33" s="16">
        <f t="shared" si="24"/>
        <v>544</v>
      </c>
      <c r="J33" s="16">
        <f>SUM(I$5:I33)</f>
        <v>2216489</v>
      </c>
      <c r="K33" s="16"/>
      <c r="L33" s="18" t="str">
        <f t="shared" ca="1" si="25"/>
        <v/>
      </c>
      <c r="M33" s="40">
        <f t="shared" ca="1" si="1"/>
        <v>33726.808908449762</v>
      </c>
      <c r="N33" s="16">
        <f t="shared" ca="1" si="2"/>
        <v>5</v>
      </c>
      <c r="O33" s="16">
        <f ca="1">SUM(N$5:N33)</f>
        <v>19462</v>
      </c>
      <c r="P33" s="16"/>
      <c r="Q33" s="19">
        <f t="shared" ca="1" si="26"/>
        <v>8.7805533887152162E-3</v>
      </c>
      <c r="R33" s="16"/>
      <c r="S33" s="16">
        <f t="shared" ca="1" si="3"/>
        <v>226</v>
      </c>
      <c r="T33" s="19">
        <f t="shared" ca="1" si="27"/>
        <v>2.2123893805309734E-2</v>
      </c>
      <c r="U33" s="35"/>
      <c r="V33" s="30">
        <f t="shared" si="4"/>
        <v>0.7</v>
      </c>
      <c r="W33" s="16">
        <f t="shared" si="5"/>
        <v>7783511</v>
      </c>
      <c r="X33" s="16"/>
      <c r="Y33" s="16">
        <f t="shared" si="6"/>
        <v>54</v>
      </c>
      <c r="Z33" s="16">
        <f t="shared" si="7"/>
        <v>326</v>
      </c>
      <c r="AA33" s="16">
        <f t="shared" si="8"/>
        <v>164</v>
      </c>
      <c r="AB33" s="16"/>
      <c r="AC33" s="16">
        <f t="shared" si="9"/>
        <v>10053</v>
      </c>
      <c r="AD33" s="16">
        <f t="shared" si="10"/>
        <v>250312</v>
      </c>
      <c r="AE33" s="16">
        <f t="shared" si="11"/>
        <v>9739635</v>
      </c>
      <c r="AF33" s="16"/>
      <c r="AG33" s="16">
        <f>ROUND(AC33*Desire_severe*(1-SUM($BA$5:$BC32)/Population),0)</f>
        <v>9923</v>
      </c>
      <c r="AH33" s="16">
        <f>ROUND(AD33*Desire_mild*(1-SUM($BA$5:$BC32)/Population),0)</f>
        <v>123538</v>
      </c>
      <c r="AI33" s="16">
        <f>ROUND(AE33*Desire_asy*(1-SUM($BA$5:$BC32)/Population),0)</f>
        <v>192274</v>
      </c>
      <c r="AJ33" s="16"/>
      <c r="AK33" s="16">
        <f t="shared" si="42"/>
        <v>145</v>
      </c>
      <c r="AL33" s="16">
        <f t="shared" si="13"/>
        <v>145</v>
      </c>
      <c r="AM33" s="16">
        <f t="shared" si="28"/>
        <v>0</v>
      </c>
      <c r="AN33" s="16"/>
      <c r="AO33" s="16">
        <f t="shared" si="43"/>
        <v>145</v>
      </c>
      <c r="AP33" s="16">
        <f t="shared" si="44"/>
        <v>0</v>
      </c>
      <c r="AQ33" s="16">
        <f t="shared" si="29"/>
        <v>0</v>
      </c>
      <c r="AR33" s="16"/>
      <c r="AS33" s="16">
        <f t="shared" si="45"/>
        <v>9778</v>
      </c>
      <c r="AT33" s="16">
        <f t="shared" si="46"/>
        <v>123538</v>
      </c>
      <c r="AU33" s="16">
        <f t="shared" si="47"/>
        <v>192274</v>
      </c>
      <c r="AV33" s="16"/>
      <c r="AW33" s="16">
        <f t="shared" si="31"/>
        <v>0</v>
      </c>
      <c r="AX33" s="16">
        <f t="shared" si="32"/>
        <v>0</v>
      </c>
      <c r="AY33" s="16">
        <f t="shared" si="33"/>
        <v>0</v>
      </c>
      <c r="AZ33" s="16"/>
      <c r="BA33" s="16">
        <f t="shared" si="34"/>
        <v>145</v>
      </c>
      <c r="BB33" s="16">
        <f t="shared" si="35"/>
        <v>0</v>
      </c>
      <c r="BC33" s="16">
        <f t="shared" si="36"/>
        <v>0</v>
      </c>
      <c r="BD33" s="16"/>
      <c r="BE33" s="20">
        <f t="shared" si="37"/>
        <v>5.3715308863025966E-3</v>
      </c>
      <c r="BF33" s="20">
        <f t="shared" si="38"/>
        <v>1.3023746364537057E-3</v>
      </c>
      <c r="BG33" s="20">
        <f t="shared" si="39"/>
        <v>1.6838413349165548E-5</v>
      </c>
      <c r="BH33" s="16"/>
      <c r="BI33" s="16">
        <f t="shared" si="19"/>
        <v>1</v>
      </c>
      <c r="BJ33" s="16">
        <f t="shared" si="20"/>
        <v>0</v>
      </c>
      <c r="BK33" s="16">
        <f t="shared" si="21"/>
        <v>0</v>
      </c>
      <c r="BL33" s="16"/>
      <c r="BM33" s="16">
        <f t="shared" si="40"/>
        <v>1</v>
      </c>
      <c r="BN33" s="22">
        <f t="shared" si="48"/>
        <v>0.5</v>
      </c>
      <c r="BO33" s="19">
        <f t="shared" si="49"/>
        <v>6.8965517241379309E-3</v>
      </c>
    </row>
    <row r="34" spans="1:67" s="9" customFormat="1" ht="13" customHeight="1" x14ac:dyDescent="0.15">
      <c r="A34" s="15" t="s">
        <v>53</v>
      </c>
      <c r="B34" s="25">
        <v>10000</v>
      </c>
      <c r="D34" s="38">
        <f t="shared" si="41"/>
        <v>29</v>
      </c>
      <c r="E34" s="41">
        <f t="shared" si="22"/>
        <v>43976</v>
      </c>
      <c r="F34" s="16"/>
      <c r="G34" s="17">
        <f t="shared" si="23"/>
        <v>0.47892720306513409</v>
      </c>
      <c r="H34" s="40">
        <f t="shared" si="0"/>
        <v>61463.093351898642</v>
      </c>
      <c r="I34" s="16">
        <f t="shared" si="24"/>
        <v>261</v>
      </c>
      <c r="J34" s="16">
        <f>SUM(I$5:I34)</f>
        <v>2216750</v>
      </c>
      <c r="K34" s="16"/>
      <c r="L34" s="18" t="str">
        <f t="shared" ca="1" si="25"/>
        <v/>
      </c>
      <c r="M34" s="40">
        <f t="shared" ca="1" si="1"/>
        <v>67458.816465167038</v>
      </c>
      <c r="N34" s="16">
        <f t="shared" ca="1" si="2"/>
        <v>2</v>
      </c>
      <c r="O34" s="16">
        <f ca="1">SUM(N$5:N34)</f>
        <v>19464</v>
      </c>
      <c r="P34" s="16"/>
      <c r="Q34" s="19">
        <f t="shared" ca="1" si="26"/>
        <v>8.7804217886545619E-3</v>
      </c>
      <c r="R34" s="16"/>
      <c r="S34" s="16">
        <f t="shared" ca="1" si="3"/>
        <v>181</v>
      </c>
      <c r="T34" s="19">
        <f t="shared" ca="1" si="27"/>
        <v>1.1049723756906077E-2</v>
      </c>
      <c r="U34" s="35"/>
      <c r="V34" s="30">
        <f t="shared" si="4"/>
        <v>0.7</v>
      </c>
      <c r="W34" s="16">
        <f t="shared" si="5"/>
        <v>7783250</v>
      </c>
      <c r="X34" s="16"/>
      <c r="Y34" s="16">
        <f t="shared" si="6"/>
        <v>26</v>
      </c>
      <c r="Z34" s="16">
        <f t="shared" si="7"/>
        <v>157</v>
      </c>
      <c r="AA34" s="16">
        <f t="shared" si="8"/>
        <v>78</v>
      </c>
      <c r="AB34" s="16"/>
      <c r="AC34" s="16">
        <f t="shared" si="9"/>
        <v>10026</v>
      </c>
      <c r="AD34" s="16">
        <f t="shared" si="10"/>
        <v>250150</v>
      </c>
      <c r="AE34" s="16">
        <f t="shared" si="11"/>
        <v>9739824</v>
      </c>
      <c r="AF34" s="16"/>
      <c r="AG34" s="16">
        <f>ROUND(AC34*Desire_severe*(1-SUM($BA$5:$BC33)/Population),0)</f>
        <v>9896</v>
      </c>
      <c r="AH34" s="16">
        <f>ROUND(AD34*Desire_mild*(1-SUM($BA$5:$BC33)/Population),0)</f>
        <v>123456</v>
      </c>
      <c r="AI34" s="16">
        <f>ROUND(AE34*Desire_asy*(1-SUM($BA$5:$BC33)/Population),0)</f>
        <v>192275</v>
      </c>
      <c r="AJ34" s="16"/>
      <c r="AK34" s="16">
        <f t="shared" si="42"/>
        <v>116</v>
      </c>
      <c r="AL34" s="16">
        <f t="shared" si="13"/>
        <v>116</v>
      </c>
      <c r="AM34" s="16">
        <f t="shared" si="28"/>
        <v>0</v>
      </c>
      <c r="AN34" s="16"/>
      <c r="AO34" s="16">
        <f t="shared" si="43"/>
        <v>116</v>
      </c>
      <c r="AP34" s="16">
        <f t="shared" si="44"/>
        <v>0</v>
      </c>
      <c r="AQ34" s="16">
        <f t="shared" si="29"/>
        <v>0</v>
      </c>
      <c r="AR34" s="16"/>
      <c r="AS34" s="16">
        <f t="shared" si="45"/>
        <v>9780</v>
      </c>
      <c r="AT34" s="16">
        <f t="shared" si="46"/>
        <v>123456</v>
      </c>
      <c r="AU34" s="16">
        <f t="shared" si="47"/>
        <v>192275</v>
      </c>
      <c r="AV34" s="16"/>
      <c r="AW34" s="16">
        <f t="shared" si="31"/>
        <v>0</v>
      </c>
      <c r="AX34" s="16">
        <f t="shared" si="32"/>
        <v>0</v>
      </c>
      <c r="AY34" s="16">
        <f t="shared" si="33"/>
        <v>0</v>
      </c>
      <c r="AZ34" s="16"/>
      <c r="BA34" s="16">
        <f t="shared" si="34"/>
        <v>116</v>
      </c>
      <c r="BB34" s="16">
        <f t="shared" si="35"/>
        <v>0</v>
      </c>
      <c r="BC34" s="16">
        <f t="shared" si="36"/>
        <v>0</v>
      </c>
      <c r="BD34" s="16"/>
      <c r="BE34" s="20">
        <f t="shared" si="37"/>
        <v>2.5932575304209058E-3</v>
      </c>
      <c r="BF34" s="20">
        <f t="shared" si="38"/>
        <v>6.2762342594443337E-4</v>
      </c>
      <c r="BG34" s="20">
        <f t="shared" si="39"/>
        <v>8.0083582619152042E-6</v>
      </c>
      <c r="BH34" s="16"/>
      <c r="BI34" s="16">
        <f t="shared" si="19"/>
        <v>0</v>
      </c>
      <c r="BJ34" s="16">
        <f t="shared" si="20"/>
        <v>0</v>
      </c>
      <c r="BK34" s="16">
        <f t="shared" si="21"/>
        <v>0</v>
      </c>
      <c r="BL34" s="16"/>
      <c r="BM34" s="16">
        <f t="shared" si="40"/>
        <v>0</v>
      </c>
      <c r="BN34" s="22">
        <f t="shared" si="48"/>
        <v>0</v>
      </c>
      <c r="BO34" s="19">
        <f t="shared" si="49"/>
        <v>0</v>
      </c>
    </row>
    <row r="35" spans="1:67" s="9" customFormat="1" ht="13" customHeight="1" x14ac:dyDescent="0.15">
      <c r="B35" s="8"/>
      <c r="D35" s="38">
        <f t="shared" si="41"/>
        <v>30</v>
      </c>
      <c r="E35" s="41">
        <f t="shared" si="22"/>
        <v>43981</v>
      </c>
      <c r="F35" s="16"/>
      <c r="G35" s="17">
        <f t="shared" si="23"/>
        <v>0.48</v>
      </c>
      <c r="H35" s="40">
        <f t="shared" si="0"/>
        <v>128053.45418543951</v>
      </c>
      <c r="I35" s="16">
        <f t="shared" si="24"/>
        <v>125</v>
      </c>
      <c r="J35" s="16">
        <f>SUM(I$5:I35)</f>
        <v>2216875</v>
      </c>
      <c r="K35" s="16"/>
      <c r="L35" s="18" t="str">
        <f t="shared" ca="1" si="25"/>
        <v/>
      </c>
      <c r="M35" s="40" t="str">
        <f t="shared" ca="1" si="1"/>
        <v>∞</v>
      </c>
      <c r="N35" s="16">
        <f t="shared" ca="1" si="2"/>
        <v>1</v>
      </c>
      <c r="O35" s="16">
        <f ca="1">SUM(N$5:N35)</f>
        <v>19465</v>
      </c>
      <c r="P35" s="16"/>
      <c r="Q35" s="19">
        <f t="shared" ca="1" si="26"/>
        <v>8.7803777840428539E-3</v>
      </c>
      <c r="R35" s="16"/>
      <c r="S35" s="16">
        <f t="shared" ca="1" si="3"/>
        <v>145</v>
      </c>
      <c r="T35" s="19">
        <f t="shared" ca="1" si="27"/>
        <v>6.8965517241379309E-3</v>
      </c>
      <c r="U35" s="35"/>
      <c r="V35" s="30">
        <f t="shared" si="4"/>
        <v>0.7</v>
      </c>
      <c r="W35" s="16">
        <f t="shared" si="5"/>
        <v>7783125</v>
      </c>
      <c r="X35" s="16"/>
      <c r="Y35" s="16">
        <f t="shared" si="6"/>
        <v>13</v>
      </c>
      <c r="Z35" s="16">
        <f t="shared" si="7"/>
        <v>75</v>
      </c>
      <c r="AA35" s="16">
        <f t="shared" si="8"/>
        <v>37</v>
      </c>
      <c r="AB35" s="16"/>
      <c r="AC35" s="16">
        <f t="shared" si="9"/>
        <v>10013</v>
      </c>
      <c r="AD35" s="16">
        <f t="shared" si="10"/>
        <v>250072</v>
      </c>
      <c r="AE35" s="16">
        <f t="shared" si="11"/>
        <v>9739915</v>
      </c>
      <c r="AF35" s="16"/>
      <c r="AG35" s="16">
        <f>ROUND(AC35*Desire_severe*(1-SUM($BA$5:$BC34)/Population),0)</f>
        <v>9883</v>
      </c>
      <c r="AH35" s="16">
        <f>ROUND(AD35*Desire_mild*(1-SUM($BA$5:$BC34)/Population),0)</f>
        <v>123416</v>
      </c>
      <c r="AI35" s="16">
        <f>ROUND(AE35*Desire_asy*(1-SUM($BA$5:$BC34)/Population),0)</f>
        <v>192275</v>
      </c>
      <c r="AJ35" s="16"/>
      <c r="AK35" s="16">
        <f t="shared" si="42"/>
        <v>93</v>
      </c>
      <c r="AL35" s="16">
        <f t="shared" si="13"/>
        <v>93</v>
      </c>
      <c r="AM35" s="16">
        <f t="shared" si="28"/>
        <v>0</v>
      </c>
      <c r="AN35" s="16"/>
      <c r="AO35" s="16">
        <f t="shared" si="43"/>
        <v>93</v>
      </c>
      <c r="AP35" s="16">
        <f t="shared" si="44"/>
        <v>0</v>
      </c>
      <c r="AQ35" s="16">
        <f t="shared" si="29"/>
        <v>0</v>
      </c>
      <c r="AR35" s="16"/>
      <c r="AS35" s="16">
        <f t="shared" si="45"/>
        <v>9790</v>
      </c>
      <c r="AT35" s="16">
        <f t="shared" si="46"/>
        <v>123416</v>
      </c>
      <c r="AU35" s="16">
        <f t="shared" si="47"/>
        <v>192275</v>
      </c>
      <c r="AV35" s="16"/>
      <c r="AW35" s="16">
        <f t="shared" si="31"/>
        <v>0</v>
      </c>
      <c r="AX35" s="16">
        <f t="shared" si="32"/>
        <v>0</v>
      </c>
      <c r="AY35" s="16">
        <f t="shared" si="33"/>
        <v>0</v>
      </c>
      <c r="AZ35" s="16"/>
      <c r="BA35" s="16">
        <f t="shared" si="34"/>
        <v>93</v>
      </c>
      <c r="BB35" s="16">
        <f t="shared" si="35"/>
        <v>0</v>
      </c>
      <c r="BC35" s="16">
        <f t="shared" si="36"/>
        <v>0</v>
      </c>
      <c r="BD35" s="16"/>
      <c r="BE35" s="20">
        <f t="shared" si="37"/>
        <v>1.2983121941476082E-3</v>
      </c>
      <c r="BF35" s="20">
        <f t="shared" si="38"/>
        <v>2.9991362487603569E-4</v>
      </c>
      <c r="BG35" s="20">
        <f t="shared" si="39"/>
        <v>3.7988011189009351E-6</v>
      </c>
      <c r="BH35" s="16"/>
      <c r="BI35" s="16">
        <f t="shared" si="19"/>
        <v>0</v>
      </c>
      <c r="BJ35" s="16">
        <f t="shared" si="20"/>
        <v>0</v>
      </c>
      <c r="BK35" s="16">
        <f t="shared" si="21"/>
        <v>0</v>
      </c>
      <c r="BL35" s="16"/>
      <c r="BM35" s="16">
        <f t="shared" si="40"/>
        <v>0</v>
      </c>
      <c r="BN35" s="22" t="str">
        <f t="shared" si="48"/>
        <v/>
      </c>
      <c r="BO35" s="19">
        <f t="shared" si="49"/>
        <v>0</v>
      </c>
    </row>
    <row r="36" spans="1:67" s="9" customFormat="1" ht="13" customHeight="1" x14ac:dyDescent="0.15">
      <c r="A36" s="15" t="s">
        <v>20</v>
      </c>
      <c r="B36" s="23">
        <v>1</v>
      </c>
      <c r="D36" s="38">
        <f t="shared" ref="D36:D41" si="50">D35+1</f>
        <v>31</v>
      </c>
      <c r="E36" s="41">
        <f t="shared" si="22"/>
        <v>43986</v>
      </c>
      <c r="F36" s="16"/>
      <c r="G36" s="17">
        <f t="shared" si="23"/>
        <v>0.48333333333333334</v>
      </c>
      <c r="H36" s="40">
        <f t="shared" si="0"/>
        <v>264943.49919631123</v>
      </c>
      <c r="I36" s="16">
        <f t="shared" si="24"/>
        <v>60</v>
      </c>
      <c r="J36" s="16">
        <f>SUM(I$5:I36)</f>
        <v>2216935</v>
      </c>
      <c r="K36" s="16"/>
      <c r="L36" s="18" t="str">
        <f t="shared" ca="1" si="25"/>
        <v/>
      </c>
      <c r="M36" s="40" t="str">
        <f t="shared" ca="1" si="1"/>
        <v>∞</v>
      </c>
      <c r="N36" s="16">
        <f t="shared" ca="1" si="2"/>
        <v>0</v>
      </c>
      <c r="O36" s="16">
        <f ca="1">SUM(N$5:N36)</f>
        <v>19465</v>
      </c>
      <c r="P36" s="16"/>
      <c r="Q36" s="19">
        <f t="shared" ca="1" si="26"/>
        <v>8.7801401484481952E-3</v>
      </c>
      <c r="R36" s="16"/>
      <c r="S36" s="16">
        <f t="shared" ca="1" si="3"/>
        <v>116</v>
      </c>
      <c r="T36" s="19">
        <f t="shared" ca="1" si="27"/>
        <v>0</v>
      </c>
      <c r="U36" s="35"/>
      <c r="V36" s="30">
        <f t="shared" si="4"/>
        <v>0.7</v>
      </c>
      <c r="W36" s="16">
        <f t="shared" si="5"/>
        <v>7783065</v>
      </c>
      <c r="X36" s="16"/>
      <c r="Y36" s="16">
        <f t="shared" si="6"/>
        <v>6</v>
      </c>
      <c r="Z36" s="16">
        <f t="shared" si="7"/>
        <v>36</v>
      </c>
      <c r="AA36" s="16">
        <f t="shared" si="8"/>
        <v>18</v>
      </c>
      <c r="AB36" s="16"/>
      <c r="AC36" s="16">
        <f t="shared" si="9"/>
        <v>10006</v>
      </c>
      <c r="AD36" s="16">
        <f t="shared" si="10"/>
        <v>250035</v>
      </c>
      <c r="AE36" s="16">
        <f t="shared" si="11"/>
        <v>9739959</v>
      </c>
      <c r="AF36" s="16"/>
      <c r="AG36" s="16">
        <f>ROUND(AC36*Desire_severe*(1-SUM($BA$5:$BC35)/Population),0)</f>
        <v>9876</v>
      </c>
      <c r="AH36" s="16">
        <f>ROUND(AD36*Desire_mild*(1-SUM($BA$5:$BC35)/Population),0)</f>
        <v>123397</v>
      </c>
      <c r="AI36" s="16">
        <f>ROUND(AE36*Desire_asy*(1-SUM($BA$5:$BC35)/Population),0)</f>
        <v>192274</v>
      </c>
      <c r="AJ36" s="16"/>
      <c r="AK36" s="16">
        <f t="shared" si="42"/>
        <v>74</v>
      </c>
      <c r="AL36" s="16">
        <f t="shared" ref="AL36:AL40" si="51">ROUND(AK36*Rationed_tests,0)</f>
        <v>74</v>
      </c>
      <c r="AM36" s="16">
        <f t="shared" ref="AM36:AM40" si="52">AK36-AL36</f>
        <v>0</v>
      </c>
      <c r="AN36" s="16"/>
      <c r="AO36" s="16">
        <f t="shared" ref="AO36:AO40" si="53">MIN(AL36,AG36)</f>
        <v>74</v>
      </c>
      <c r="AP36" s="16">
        <f t="shared" ref="AP36:AP40" si="54">MIN(AH36,AL36-AO36)</f>
        <v>0</v>
      </c>
      <c r="AQ36" s="16">
        <f t="shared" si="29"/>
        <v>0</v>
      </c>
      <c r="AR36" s="16"/>
      <c r="AS36" s="16">
        <f t="shared" ref="AS36:AS40" si="55">AG36-AO36</f>
        <v>9802</v>
      </c>
      <c r="AT36" s="16">
        <f t="shared" ref="AT36:AT40" si="56">AH36-AP36</f>
        <v>123397</v>
      </c>
      <c r="AU36" s="16">
        <f t="shared" ref="AU36:AU40" si="57">AI36-AQ36</f>
        <v>192274</v>
      </c>
      <c r="AV36" s="16"/>
      <c r="AW36" s="16">
        <f t="shared" si="31"/>
        <v>0</v>
      </c>
      <c r="AX36" s="16">
        <f t="shared" si="32"/>
        <v>0</v>
      </c>
      <c r="AY36" s="16">
        <f t="shared" si="33"/>
        <v>0</v>
      </c>
      <c r="AZ36" s="16"/>
      <c r="BA36" s="16">
        <f t="shared" ref="BA36:BA40" si="58">AW36+AO36</f>
        <v>74</v>
      </c>
      <c r="BB36" s="16">
        <f t="shared" ref="BB36:BB40" si="59">AX36+AP36</f>
        <v>0</v>
      </c>
      <c r="BC36" s="16">
        <f t="shared" ref="BC36:BC40" si="60">AY36+AQ36</f>
        <v>0</v>
      </c>
      <c r="BD36" s="16"/>
      <c r="BE36" s="20">
        <f t="shared" ref="BE36:BE40" si="61">Y36/AC36</f>
        <v>5.9964021587047766E-4</v>
      </c>
      <c r="BF36" s="20">
        <f t="shared" ref="BF36:BF40" si="62">Z36/AD36</f>
        <v>1.4397984282200492E-4</v>
      </c>
      <c r="BG36" s="20">
        <f t="shared" ref="BG36:BG40" si="63">AA36/AE36</f>
        <v>1.8480570606098034E-6</v>
      </c>
      <c r="BH36" s="16"/>
      <c r="BI36" s="16">
        <f t="shared" si="19"/>
        <v>0</v>
      </c>
      <c r="BJ36" s="16">
        <f t="shared" si="20"/>
        <v>0</v>
      </c>
      <c r="BK36" s="16">
        <f t="shared" si="21"/>
        <v>0</v>
      </c>
      <c r="BL36" s="16"/>
      <c r="BM36" s="16">
        <f t="shared" ref="BM36:BM40" si="64">BI36+BJ36+BK36</f>
        <v>0</v>
      </c>
      <c r="BN36" s="22" t="str">
        <f t="shared" si="48"/>
        <v/>
      </c>
      <c r="BO36" s="19">
        <f t="shared" ref="BO36:BO40" si="65">BM36/SUM(BA36:BC36)</f>
        <v>0</v>
      </c>
    </row>
    <row r="37" spans="1:67" s="9" customFormat="1" ht="13" customHeight="1" x14ac:dyDescent="0.15">
      <c r="B37" s="8"/>
      <c r="D37" s="38">
        <f t="shared" si="50"/>
        <v>32</v>
      </c>
      <c r="E37" s="41">
        <f t="shared" si="22"/>
        <v>43991</v>
      </c>
      <c r="F37" s="16"/>
      <c r="G37" s="17">
        <f t="shared" si="23"/>
        <v>0.48275862068965519</v>
      </c>
      <c r="H37" s="40">
        <f t="shared" si="0"/>
        <v>548816.85643715761</v>
      </c>
      <c r="I37" s="16">
        <f t="shared" si="24"/>
        <v>29</v>
      </c>
      <c r="J37" s="16">
        <f>SUM(I$5:I37)</f>
        <v>2216964</v>
      </c>
      <c r="K37" s="16"/>
      <c r="L37" s="18" t="str">
        <f t="shared" ca="1" si="25"/>
        <v/>
      </c>
      <c r="M37" s="40" t="str">
        <f t="shared" ca="1" si="1"/>
        <v>∞</v>
      </c>
      <c r="N37" s="16">
        <f t="shared" ca="1" si="2"/>
        <v>0</v>
      </c>
      <c r="O37" s="16">
        <f ca="1">SUM(N$5:N37)</f>
        <v>19465</v>
      </c>
      <c r="P37" s="16"/>
      <c r="Q37" s="19">
        <f t="shared" ca="1" si="26"/>
        <v>8.7800252958550526E-3</v>
      </c>
      <c r="R37" s="16"/>
      <c r="S37" s="16">
        <f t="shared" ca="1" si="3"/>
        <v>93</v>
      </c>
      <c r="T37" s="19">
        <f t="shared" ca="1" si="27"/>
        <v>0</v>
      </c>
      <c r="U37" s="35"/>
      <c r="V37" s="30">
        <f t="shared" si="4"/>
        <v>0.7</v>
      </c>
      <c r="W37" s="16">
        <f t="shared" si="5"/>
        <v>7783036</v>
      </c>
      <c r="X37" s="16"/>
      <c r="Y37" s="16">
        <f t="shared" si="6"/>
        <v>3</v>
      </c>
      <c r="Z37" s="16">
        <f t="shared" si="7"/>
        <v>17</v>
      </c>
      <c r="AA37" s="16">
        <f t="shared" si="8"/>
        <v>9</v>
      </c>
      <c r="AB37" s="16"/>
      <c r="AC37" s="16">
        <f t="shared" si="9"/>
        <v>10003</v>
      </c>
      <c r="AD37" s="16">
        <f t="shared" si="10"/>
        <v>250016</v>
      </c>
      <c r="AE37" s="16">
        <f t="shared" si="11"/>
        <v>9739981</v>
      </c>
      <c r="AF37" s="16"/>
      <c r="AG37" s="16">
        <f>ROUND(AC37*Desire_severe*(1-SUM($BA$5:$BC36)/Population),0)</f>
        <v>9873</v>
      </c>
      <c r="AH37" s="16">
        <f>ROUND(AD37*Desire_mild*(1-SUM($BA$5:$BC36)/Population),0)</f>
        <v>123386</v>
      </c>
      <c r="AI37" s="16">
        <f>ROUND(AE37*Desire_asy*(1-SUM($BA$5:$BC36)/Population),0)</f>
        <v>192273</v>
      </c>
      <c r="AJ37" s="16"/>
      <c r="AK37" s="16">
        <f t="shared" si="42"/>
        <v>59</v>
      </c>
      <c r="AL37" s="16">
        <f t="shared" si="51"/>
        <v>59</v>
      </c>
      <c r="AM37" s="16">
        <f t="shared" si="52"/>
        <v>0</v>
      </c>
      <c r="AN37" s="16"/>
      <c r="AO37" s="16">
        <f t="shared" si="53"/>
        <v>59</v>
      </c>
      <c r="AP37" s="16">
        <f t="shared" si="54"/>
        <v>0</v>
      </c>
      <c r="AQ37" s="16">
        <f t="shared" si="29"/>
        <v>0</v>
      </c>
      <c r="AR37" s="16"/>
      <c r="AS37" s="16">
        <f t="shared" si="55"/>
        <v>9814</v>
      </c>
      <c r="AT37" s="16">
        <f t="shared" si="56"/>
        <v>123386</v>
      </c>
      <c r="AU37" s="16">
        <f t="shared" si="57"/>
        <v>192273</v>
      </c>
      <c r="AV37" s="16"/>
      <c r="AW37" s="16">
        <f t="shared" si="31"/>
        <v>0</v>
      </c>
      <c r="AX37" s="16">
        <f t="shared" si="32"/>
        <v>0</v>
      </c>
      <c r="AY37" s="16">
        <f t="shared" si="33"/>
        <v>0</v>
      </c>
      <c r="AZ37" s="16"/>
      <c r="BA37" s="16">
        <f t="shared" si="58"/>
        <v>59</v>
      </c>
      <c r="BB37" s="16">
        <f t="shared" si="59"/>
        <v>0</v>
      </c>
      <c r="BC37" s="16">
        <f t="shared" si="60"/>
        <v>0</v>
      </c>
      <c r="BD37" s="16"/>
      <c r="BE37" s="20">
        <f t="shared" si="61"/>
        <v>2.9991002699190244E-4</v>
      </c>
      <c r="BF37" s="20">
        <f t="shared" si="62"/>
        <v>6.7995648278510181E-5</v>
      </c>
      <c r="BG37" s="20">
        <f t="shared" si="63"/>
        <v>9.2402644317273306E-7</v>
      </c>
      <c r="BH37" s="16"/>
      <c r="BI37" s="16">
        <f t="shared" si="19"/>
        <v>0</v>
      </c>
      <c r="BJ37" s="16">
        <f t="shared" si="20"/>
        <v>0</v>
      </c>
      <c r="BK37" s="16">
        <f t="shared" si="21"/>
        <v>0</v>
      </c>
      <c r="BL37" s="16"/>
      <c r="BM37" s="16">
        <f t="shared" si="64"/>
        <v>0</v>
      </c>
      <c r="BN37" s="22" t="str">
        <f t="shared" si="48"/>
        <v/>
      </c>
      <c r="BO37" s="19">
        <f t="shared" si="65"/>
        <v>0</v>
      </c>
    </row>
    <row r="38" spans="1:67" s="9" customFormat="1" ht="13" customHeight="1" x14ac:dyDescent="0.15">
      <c r="A38" s="15" t="s">
        <v>4</v>
      </c>
      <c r="B38" s="26">
        <v>0</v>
      </c>
      <c r="D38" s="38">
        <f t="shared" si="50"/>
        <v>33</v>
      </c>
      <c r="E38" s="41">
        <f t="shared" si="22"/>
        <v>43996</v>
      </c>
      <c r="F38" s="16"/>
      <c r="G38" s="17">
        <f t="shared" si="23"/>
        <v>0.5</v>
      </c>
      <c r="H38" s="40">
        <f t="shared" si="0"/>
        <v>1097638.9114556883</v>
      </c>
      <c r="I38" s="16">
        <f t="shared" si="24"/>
        <v>14</v>
      </c>
      <c r="J38" s="16">
        <f>SUM(I$5:I38)</f>
        <v>2216978</v>
      </c>
      <c r="K38" s="16"/>
      <c r="L38" s="18" t="str">
        <f t="shared" ca="1" si="25"/>
        <v/>
      </c>
      <c r="M38" s="40" t="str">
        <f t="shared" ca="1" si="1"/>
        <v>∞</v>
      </c>
      <c r="N38" s="16">
        <f t="shared" ca="1" si="2"/>
        <v>0</v>
      </c>
      <c r="O38" s="16">
        <f ca="1">SUM(N$5:N38)</f>
        <v>19465</v>
      </c>
      <c r="P38" s="16"/>
      <c r="Q38" s="19">
        <f t="shared" ca="1" si="26"/>
        <v>8.7799698508510236E-3</v>
      </c>
      <c r="R38" s="16"/>
      <c r="S38" s="16">
        <f t="shared" ca="1" si="3"/>
        <v>74</v>
      </c>
      <c r="T38" s="19">
        <f t="shared" ca="1" si="27"/>
        <v>0</v>
      </c>
      <c r="U38" s="35"/>
      <c r="V38" s="30">
        <f t="shared" si="4"/>
        <v>0.7</v>
      </c>
      <c r="W38" s="16">
        <f t="shared" si="5"/>
        <v>7783022</v>
      </c>
      <c r="X38" s="16"/>
      <c r="Y38" s="16">
        <f t="shared" si="6"/>
        <v>1</v>
      </c>
      <c r="Z38" s="16">
        <f t="shared" si="7"/>
        <v>8</v>
      </c>
      <c r="AA38" s="16">
        <f t="shared" si="8"/>
        <v>5</v>
      </c>
      <c r="AB38" s="16"/>
      <c r="AC38" s="16">
        <f t="shared" si="9"/>
        <v>10001</v>
      </c>
      <c r="AD38" s="16">
        <f t="shared" si="10"/>
        <v>250008</v>
      </c>
      <c r="AE38" s="16">
        <f t="shared" si="11"/>
        <v>9739991</v>
      </c>
      <c r="AF38" s="16"/>
      <c r="AG38" s="16">
        <f>ROUND(AC38*Desire_severe*(1-SUM($BA$5:$BC37)/Population),0)</f>
        <v>9871</v>
      </c>
      <c r="AH38" s="16">
        <f>ROUND(AD38*Desire_mild*(1-SUM($BA$5:$BC37)/Population),0)</f>
        <v>123382</v>
      </c>
      <c r="AI38" s="16">
        <f>ROUND(AE38*Desire_asy*(1-SUM($BA$5:$BC37)/Population),0)</f>
        <v>192272</v>
      </c>
      <c r="AJ38" s="16"/>
      <c r="AK38" s="16">
        <f t="shared" si="42"/>
        <v>47</v>
      </c>
      <c r="AL38" s="16">
        <f t="shared" si="51"/>
        <v>47</v>
      </c>
      <c r="AM38" s="16">
        <f t="shared" si="52"/>
        <v>0</v>
      </c>
      <c r="AN38" s="16"/>
      <c r="AO38" s="16">
        <f t="shared" si="53"/>
        <v>47</v>
      </c>
      <c r="AP38" s="16">
        <f t="shared" si="54"/>
        <v>0</v>
      </c>
      <c r="AQ38" s="16">
        <f t="shared" si="29"/>
        <v>0</v>
      </c>
      <c r="AR38" s="16"/>
      <c r="AS38" s="16">
        <f t="shared" si="55"/>
        <v>9824</v>
      </c>
      <c r="AT38" s="16">
        <f t="shared" si="56"/>
        <v>123382</v>
      </c>
      <c r="AU38" s="16">
        <f t="shared" si="57"/>
        <v>192272</v>
      </c>
      <c r="AV38" s="16"/>
      <c r="AW38" s="16">
        <f t="shared" si="31"/>
        <v>0</v>
      </c>
      <c r="AX38" s="16">
        <f t="shared" si="32"/>
        <v>0</v>
      </c>
      <c r="AY38" s="16">
        <f t="shared" si="33"/>
        <v>0</v>
      </c>
      <c r="AZ38" s="16"/>
      <c r="BA38" s="16">
        <f t="shared" si="58"/>
        <v>47</v>
      </c>
      <c r="BB38" s="16">
        <f t="shared" si="59"/>
        <v>0</v>
      </c>
      <c r="BC38" s="16">
        <f t="shared" si="60"/>
        <v>0</v>
      </c>
      <c r="BD38" s="16"/>
      <c r="BE38" s="20">
        <f t="shared" si="61"/>
        <v>9.9990000999900015E-5</v>
      </c>
      <c r="BF38" s="20">
        <f t="shared" si="62"/>
        <v>3.1998976032766952E-5</v>
      </c>
      <c r="BG38" s="20">
        <f t="shared" si="63"/>
        <v>5.1334749693300536E-7</v>
      </c>
      <c r="BH38" s="16"/>
      <c r="BI38" s="16">
        <f t="shared" si="19"/>
        <v>0</v>
      </c>
      <c r="BJ38" s="16">
        <f t="shared" si="20"/>
        <v>0</v>
      </c>
      <c r="BK38" s="16">
        <f t="shared" si="21"/>
        <v>0</v>
      </c>
      <c r="BL38" s="16"/>
      <c r="BM38" s="16">
        <f t="shared" si="64"/>
        <v>0</v>
      </c>
      <c r="BN38" s="22" t="str">
        <f t="shared" si="48"/>
        <v/>
      </c>
      <c r="BO38" s="19">
        <f t="shared" si="65"/>
        <v>0</v>
      </c>
    </row>
    <row r="39" spans="1:67" s="9" customFormat="1" ht="13" customHeight="1" x14ac:dyDescent="0.15">
      <c r="A39" s="15" t="s">
        <v>5</v>
      </c>
      <c r="B39" s="26">
        <v>2E-3</v>
      </c>
      <c r="D39" s="38">
        <f t="shared" si="50"/>
        <v>34</v>
      </c>
      <c r="E39" s="41">
        <f t="shared" si="22"/>
        <v>44001</v>
      </c>
      <c r="F39" s="16"/>
      <c r="G39" s="17" t="str">
        <f t="shared" si="23"/>
        <v/>
      </c>
      <c r="H39" s="40">
        <f t="shared" si="0"/>
        <v>2561163.2362636486</v>
      </c>
      <c r="I39" s="16">
        <f t="shared" si="24"/>
        <v>7</v>
      </c>
      <c r="J39" s="16">
        <f>SUM(I$5:I39)</f>
        <v>2216985</v>
      </c>
      <c r="K39" s="16"/>
      <c r="L39" s="18" t="str">
        <f t="shared" ca="1" si="25"/>
        <v/>
      </c>
      <c r="M39" s="40" t="str">
        <f t="shared" ca="1" si="1"/>
        <v>∞</v>
      </c>
      <c r="N39" s="16">
        <f t="shared" ca="1" si="2"/>
        <v>0</v>
      </c>
      <c r="O39" s="16">
        <f ca="1">SUM(N$5:N39)</f>
        <v>19465</v>
      </c>
      <c r="P39" s="16"/>
      <c r="Q39" s="19">
        <f t="shared" ca="1" si="26"/>
        <v>8.7799421286116047E-3</v>
      </c>
      <c r="R39" s="16"/>
      <c r="S39" s="16">
        <f t="shared" ca="1" si="3"/>
        <v>59</v>
      </c>
      <c r="T39" s="19">
        <f t="shared" ca="1" si="27"/>
        <v>0</v>
      </c>
      <c r="U39" s="35"/>
      <c r="V39" s="30">
        <f t="shared" si="4"/>
        <v>0.7</v>
      </c>
      <c r="W39" s="16">
        <f t="shared" si="5"/>
        <v>7783015</v>
      </c>
      <c r="X39" s="16"/>
      <c r="Y39" s="16">
        <f t="shared" si="6"/>
        <v>1</v>
      </c>
      <c r="Z39" s="16">
        <f t="shared" si="7"/>
        <v>4</v>
      </c>
      <c r="AA39" s="16">
        <f t="shared" si="8"/>
        <v>2</v>
      </c>
      <c r="AB39" s="16"/>
      <c r="AC39" s="16">
        <f t="shared" si="9"/>
        <v>10001</v>
      </c>
      <c r="AD39" s="16">
        <f t="shared" si="10"/>
        <v>250004</v>
      </c>
      <c r="AE39" s="16">
        <f t="shared" si="11"/>
        <v>9739995</v>
      </c>
      <c r="AF39" s="16"/>
      <c r="AG39" s="16">
        <f>ROUND(AC39*Desire_severe*(1-SUM($BA$5:$BC38)/Population),0)</f>
        <v>9871</v>
      </c>
      <c r="AH39" s="16">
        <f>ROUND(AD39*Desire_mild*(1-SUM($BA$5:$BC38)/Population),0)</f>
        <v>123379</v>
      </c>
      <c r="AI39" s="16">
        <f>ROUND(AE39*Desire_asy*(1-SUM($BA$5:$BC38)/Population),0)</f>
        <v>192271</v>
      </c>
      <c r="AJ39" s="16"/>
      <c r="AK39" s="16">
        <f t="shared" si="42"/>
        <v>38</v>
      </c>
      <c r="AL39" s="16">
        <f t="shared" si="51"/>
        <v>38</v>
      </c>
      <c r="AM39" s="16">
        <f t="shared" si="52"/>
        <v>0</v>
      </c>
      <c r="AN39" s="16"/>
      <c r="AO39" s="16">
        <f t="shared" si="53"/>
        <v>38</v>
      </c>
      <c r="AP39" s="16">
        <f t="shared" si="54"/>
        <v>0</v>
      </c>
      <c r="AQ39" s="16">
        <f t="shared" si="29"/>
        <v>0</v>
      </c>
      <c r="AR39" s="16"/>
      <c r="AS39" s="16">
        <f t="shared" si="55"/>
        <v>9833</v>
      </c>
      <c r="AT39" s="16">
        <f t="shared" si="56"/>
        <v>123379</v>
      </c>
      <c r="AU39" s="16">
        <f t="shared" si="57"/>
        <v>192271</v>
      </c>
      <c r="AV39" s="16"/>
      <c r="AW39" s="16">
        <f t="shared" si="31"/>
        <v>0</v>
      </c>
      <c r="AX39" s="16">
        <f t="shared" si="32"/>
        <v>0</v>
      </c>
      <c r="AY39" s="16">
        <f t="shared" si="33"/>
        <v>0</v>
      </c>
      <c r="AZ39" s="16"/>
      <c r="BA39" s="16">
        <f t="shared" si="58"/>
        <v>38</v>
      </c>
      <c r="BB39" s="16">
        <f t="shared" si="59"/>
        <v>0</v>
      </c>
      <c r="BC39" s="16">
        <f t="shared" si="60"/>
        <v>0</v>
      </c>
      <c r="BD39" s="16"/>
      <c r="BE39" s="20">
        <f t="shared" si="61"/>
        <v>9.9990000999900015E-5</v>
      </c>
      <c r="BF39" s="20">
        <f t="shared" si="62"/>
        <v>1.5999744004095935E-5</v>
      </c>
      <c r="BG39" s="20">
        <f t="shared" si="63"/>
        <v>2.0533891444502795E-7</v>
      </c>
      <c r="BH39" s="16"/>
      <c r="BI39" s="16">
        <f t="shared" si="19"/>
        <v>0</v>
      </c>
      <c r="BJ39" s="16">
        <f t="shared" si="20"/>
        <v>0</v>
      </c>
      <c r="BK39" s="16">
        <f t="shared" si="21"/>
        <v>0</v>
      </c>
      <c r="BL39" s="16"/>
      <c r="BM39" s="16">
        <f t="shared" si="64"/>
        <v>0</v>
      </c>
      <c r="BN39" s="22" t="str">
        <f t="shared" si="48"/>
        <v/>
      </c>
      <c r="BO39" s="19">
        <f t="shared" si="65"/>
        <v>0</v>
      </c>
    </row>
    <row r="40" spans="1:67" s="9" customFormat="1" ht="13" customHeight="1" x14ac:dyDescent="0.15">
      <c r="B40" s="8"/>
      <c r="D40" s="38">
        <f t="shared" si="50"/>
        <v>35</v>
      </c>
      <c r="E40" s="41">
        <f t="shared" si="22"/>
        <v>44006</v>
      </c>
      <c r="F40" s="16"/>
      <c r="G40" s="17" t="str">
        <f t="shared" si="23"/>
        <v/>
      </c>
      <c r="H40" s="40">
        <f t="shared" si="0"/>
        <v>7683496.639477225</v>
      </c>
      <c r="I40" s="16">
        <f t="shared" si="24"/>
        <v>3</v>
      </c>
      <c r="J40" s="16">
        <f>SUM(I$5:I40)</f>
        <v>2216988</v>
      </c>
      <c r="K40" s="16"/>
      <c r="L40" s="18" t="str">
        <f t="shared" ca="1" si="25"/>
        <v/>
      </c>
      <c r="M40" s="40" t="str">
        <f t="shared" ca="1" si="1"/>
        <v>∞</v>
      </c>
      <c r="N40" s="16">
        <f t="shared" ca="1" si="2"/>
        <v>0</v>
      </c>
      <c r="O40" s="16">
        <f ca="1">SUM(N$5:N40)</f>
        <v>19465</v>
      </c>
      <c r="P40" s="16"/>
      <c r="Q40" s="19">
        <f t="shared" ca="1" si="26"/>
        <v>8.7799302477054447E-3</v>
      </c>
      <c r="R40" s="16"/>
      <c r="S40" s="16">
        <f t="shared" ca="1" si="3"/>
        <v>47</v>
      </c>
      <c r="T40" s="19">
        <f t="shared" ca="1" si="27"/>
        <v>0</v>
      </c>
      <c r="U40" s="35"/>
      <c r="V40" s="30">
        <f t="shared" si="4"/>
        <v>0.7</v>
      </c>
      <c r="W40" s="16">
        <f t="shared" si="5"/>
        <v>7783012</v>
      </c>
      <c r="X40" s="16"/>
      <c r="Y40" s="16">
        <f t="shared" si="6"/>
        <v>0</v>
      </c>
      <c r="Z40" s="16">
        <f t="shared" si="7"/>
        <v>2</v>
      </c>
      <c r="AA40" s="16">
        <f t="shared" si="8"/>
        <v>1</v>
      </c>
      <c r="AB40" s="16"/>
      <c r="AC40" s="16">
        <f t="shared" si="9"/>
        <v>10000</v>
      </c>
      <c r="AD40" s="16">
        <f t="shared" si="10"/>
        <v>250002</v>
      </c>
      <c r="AE40" s="16">
        <f t="shared" si="11"/>
        <v>9739998</v>
      </c>
      <c r="AF40" s="16"/>
      <c r="AG40" s="16">
        <f>ROUND(AC40*Desire_severe*(1-SUM($BA$5:$BC39)/Population),0)</f>
        <v>9870</v>
      </c>
      <c r="AH40" s="16">
        <f>ROUND(AD40*Desire_mild*(1-SUM($BA$5:$BC39)/Population),0)</f>
        <v>123378</v>
      </c>
      <c r="AI40" s="16">
        <f>ROUND(AE40*Desire_asy*(1-SUM($BA$5:$BC39)/Population),0)</f>
        <v>192270</v>
      </c>
      <c r="AJ40" s="16"/>
      <c r="AK40" s="16">
        <f t="shared" si="42"/>
        <v>30</v>
      </c>
      <c r="AL40" s="16">
        <f t="shared" si="51"/>
        <v>30</v>
      </c>
      <c r="AM40" s="16">
        <f t="shared" si="52"/>
        <v>0</v>
      </c>
      <c r="AN40" s="16"/>
      <c r="AO40" s="16">
        <f t="shared" si="53"/>
        <v>30</v>
      </c>
      <c r="AP40" s="16">
        <f t="shared" si="54"/>
        <v>0</v>
      </c>
      <c r="AQ40" s="16">
        <f t="shared" si="29"/>
        <v>0</v>
      </c>
      <c r="AR40" s="16"/>
      <c r="AS40" s="16">
        <f t="shared" si="55"/>
        <v>9840</v>
      </c>
      <c r="AT40" s="16">
        <f t="shared" si="56"/>
        <v>123378</v>
      </c>
      <c r="AU40" s="16">
        <f t="shared" si="57"/>
        <v>192270</v>
      </c>
      <c r="AV40" s="16"/>
      <c r="AW40" s="16">
        <f t="shared" si="31"/>
        <v>0</v>
      </c>
      <c r="AX40" s="16">
        <f t="shared" si="32"/>
        <v>0</v>
      </c>
      <c r="AY40" s="16">
        <f t="shared" si="33"/>
        <v>0</v>
      </c>
      <c r="AZ40" s="16"/>
      <c r="BA40" s="16">
        <f t="shared" si="58"/>
        <v>30</v>
      </c>
      <c r="BB40" s="16">
        <f t="shared" si="59"/>
        <v>0</v>
      </c>
      <c r="BC40" s="16">
        <f t="shared" si="60"/>
        <v>0</v>
      </c>
      <c r="BD40" s="16"/>
      <c r="BE40" s="20">
        <f t="shared" si="61"/>
        <v>0</v>
      </c>
      <c r="BF40" s="20">
        <f t="shared" si="62"/>
        <v>7.9999360005119954E-6</v>
      </c>
      <c r="BG40" s="20">
        <f t="shared" si="63"/>
        <v>1.0266942559947138E-7</v>
      </c>
      <c r="BH40" s="16"/>
      <c r="BI40" s="16">
        <f t="shared" si="19"/>
        <v>0</v>
      </c>
      <c r="BJ40" s="16">
        <f t="shared" si="20"/>
        <v>0</v>
      </c>
      <c r="BK40" s="16">
        <f t="shared" si="21"/>
        <v>0</v>
      </c>
      <c r="BL40" s="16"/>
      <c r="BM40" s="16">
        <f t="shared" si="64"/>
        <v>0</v>
      </c>
      <c r="BN40" s="22" t="str">
        <f t="shared" si="48"/>
        <v/>
      </c>
      <c r="BO40" s="19">
        <f t="shared" si="65"/>
        <v>0</v>
      </c>
    </row>
    <row r="41" spans="1:67" s="9" customFormat="1" ht="13" customHeight="1" x14ac:dyDescent="0.15">
      <c r="A41" s="15" t="s">
        <v>54</v>
      </c>
      <c r="B41" s="8">
        <v>2</v>
      </c>
      <c r="D41" s="38">
        <f t="shared" si="50"/>
        <v>36</v>
      </c>
      <c r="E41" s="41">
        <f t="shared" si="22"/>
        <v>44011</v>
      </c>
      <c r="F41" s="16"/>
      <c r="G41" s="17" t="str">
        <f t="shared" si="23"/>
        <v/>
      </c>
      <c r="H41" s="40" t="str">
        <f t="shared" si="0"/>
        <v/>
      </c>
      <c r="I41" s="16">
        <f t="shared" si="24"/>
        <v>1</v>
      </c>
      <c r="J41" s="16">
        <f>SUM(I$5:I41)</f>
        <v>2216989</v>
      </c>
      <c r="K41" s="16"/>
      <c r="L41" s="18" t="str">
        <f t="shared" ca="1" si="25"/>
        <v/>
      </c>
      <c r="M41" s="40"/>
      <c r="N41" s="16">
        <f t="shared" ref="N41" ca="1" si="66">IF(ISERROR(OFFSET(BM41,-Delay,0)*1),0,OFFSET(BM41,-Delay,0))</f>
        <v>0</v>
      </c>
      <c r="O41" s="16">
        <f ca="1">SUM(N$5:N41)</f>
        <v>19465</v>
      </c>
      <c r="P41" s="16"/>
      <c r="Q41" s="19">
        <f t="shared" ref="Q41" ca="1" si="67">O41/J41</f>
        <v>8.7799262874105367E-3</v>
      </c>
      <c r="R41" s="16"/>
      <c r="S41" s="16">
        <f t="shared" ca="1" si="3"/>
        <v>38</v>
      </c>
      <c r="T41" s="19">
        <f t="shared" ref="T41" ca="1" si="68">IF(S41=0,"",N41/S41)</f>
        <v>0</v>
      </c>
      <c r="U41" s="35"/>
      <c r="V41" s="30">
        <f t="shared" si="4"/>
        <v>0.7</v>
      </c>
      <c r="W41" s="16">
        <f t="shared" si="5"/>
        <v>7783011</v>
      </c>
      <c r="X41" s="16"/>
      <c r="Y41" s="16">
        <f t="shared" si="6"/>
        <v>0</v>
      </c>
      <c r="Z41" s="16">
        <f t="shared" si="7"/>
        <v>1</v>
      </c>
      <c r="AA41" s="16">
        <f t="shared" si="8"/>
        <v>0</v>
      </c>
      <c r="AB41" s="16"/>
      <c r="AC41" s="16">
        <f t="shared" si="9"/>
        <v>10000</v>
      </c>
      <c r="AD41" s="16">
        <f t="shared" si="10"/>
        <v>250001</v>
      </c>
      <c r="AE41" s="16">
        <f t="shared" si="11"/>
        <v>9739999</v>
      </c>
      <c r="AF41" s="16"/>
      <c r="AG41" s="16">
        <f>ROUND(AC41*Desire_severe*(1-SUM($BA$5:$BC40)/Population),0)</f>
        <v>9870</v>
      </c>
      <c r="AH41" s="16">
        <f>ROUND(AD41*Desire_mild*(1-SUM($BA$5:$BC40)/Population),0)</f>
        <v>123377</v>
      </c>
      <c r="AI41" s="16">
        <f>ROUND(AE41*Desire_asy*(1-SUM($BA$5:$BC40)/Population),0)</f>
        <v>192270</v>
      </c>
      <c r="AJ41" s="16"/>
      <c r="AK41" s="16">
        <f t="shared" si="42"/>
        <v>24</v>
      </c>
      <c r="AL41" s="16">
        <f t="shared" ref="AL41" si="69">ROUND(AK41*Rationed_tests,0)</f>
        <v>24</v>
      </c>
      <c r="AM41" s="16">
        <f t="shared" ref="AM41" si="70">AK41-AL41</f>
        <v>0</v>
      </c>
      <c r="AN41" s="16"/>
      <c r="AO41" s="16">
        <f t="shared" ref="AO41" si="71">MIN(AL41,AG41)</f>
        <v>24</v>
      </c>
      <c r="AP41" s="16">
        <f t="shared" ref="AP41" si="72">MIN(AH41,AL41-AO41)</f>
        <v>0</v>
      </c>
      <c r="AQ41" s="16">
        <f t="shared" si="29"/>
        <v>0</v>
      </c>
      <c r="AR41" s="16"/>
      <c r="AS41" s="16">
        <f t="shared" ref="AS41" si="73">AG41-AO41</f>
        <v>9846</v>
      </c>
      <c r="AT41" s="16">
        <f t="shared" ref="AT41" si="74">AH41-AP41</f>
        <v>123377</v>
      </c>
      <c r="AU41" s="16">
        <f t="shared" ref="AU41" si="75">AI41-AQ41</f>
        <v>192270</v>
      </c>
      <c r="AV41" s="16"/>
      <c r="AW41" s="16">
        <f t="shared" si="31"/>
        <v>0</v>
      </c>
      <c r="AX41" s="16">
        <f t="shared" si="32"/>
        <v>0</v>
      </c>
      <c r="AY41" s="16">
        <f t="shared" si="33"/>
        <v>0</v>
      </c>
      <c r="AZ41" s="16"/>
      <c r="BA41" s="16">
        <f t="shared" ref="BA41" si="76">AW41+AO41</f>
        <v>24</v>
      </c>
      <c r="BB41" s="16">
        <f t="shared" ref="BB41" si="77">AX41+AP41</f>
        <v>0</v>
      </c>
      <c r="BC41" s="16">
        <f t="shared" ref="BC41" si="78">AY41+AQ41</f>
        <v>0</v>
      </c>
      <c r="BD41" s="16"/>
      <c r="BE41" s="20">
        <f t="shared" ref="BE41" si="79">Y41/AC41</f>
        <v>0</v>
      </c>
      <c r="BF41" s="20">
        <f t="shared" ref="BF41" si="80">Z41/AD41</f>
        <v>3.9999840000639995E-6</v>
      </c>
      <c r="BG41" s="20">
        <f t="shared" ref="BG41" si="81">AA41/AE41</f>
        <v>0</v>
      </c>
      <c r="BH41" s="16"/>
      <c r="BI41" s="16">
        <f t="shared" ref="BI41" si="82">ROUND(BA41*BE41*(1-False_negative),0)+ROUND(BA41*(1-BE41)*(False_positive),0)</f>
        <v>0</v>
      </c>
      <c r="BJ41" s="16">
        <f t="shared" ref="BJ41" si="83">ROUND(BB41*BF41*(1-False_negative),0)+ROUND(BB41*(1-BF41)*(False_positive),0)</f>
        <v>0</v>
      </c>
      <c r="BK41" s="16">
        <f t="shared" ref="BK41" si="84">ROUND(BC41*BG41*(1-False_negative),0)+ROUND(BC41*(1-BG41)*(False_positive),0)</f>
        <v>0</v>
      </c>
      <c r="BL41" s="16"/>
      <c r="BM41" s="16">
        <f t="shared" ref="BM41" si="85">BI41+BJ41+BK41</f>
        <v>0</v>
      </c>
      <c r="BN41" s="22" t="str">
        <f t="shared" ref="BN41" si="86">IF(BM40=0,"",BM41/BM40)</f>
        <v/>
      </c>
      <c r="BO41" s="19">
        <f t="shared" ref="BO41" si="87">BM41/SUM(BA41:BC41)</f>
        <v>0</v>
      </c>
    </row>
    <row r="42" spans="1:67" ht="14" customHeight="1" x14ac:dyDescent="0.15">
      <c r="F42" s="1"/>
      <c r="I42" s="1"/>
      <c r="J42" s="1"/>
      <c r="K42" s="1"/>
      <c r="N42" s="1"/>
      <c r="O42" s="1"/>
      <c r="P42" s="1"/>
      <c r="Q42" s="1"/>
      <c r="R42" s="1"/>
      <c r="S42" s="1"/>
      <c r="T42" s="1"/>
      <c r="U42" s="36"/>
      <c r="V42" s="31"/>
      <c r="W42" s="1"/>
      <c r="X42" s="1"/>
      <c r="AB42" s="1"/>
      <c r="AF42" s="1"/>
      <c r="AJ42" s="1"/>
      <c r="AN42" s="1"/>
      <c r="AR42" s="1"/>
      <c r="AV42" s="1"/>
      <c r="AZ42" s="1"/>
      <c r="BD42" s="1"/>
      <c r="BH42" s="1"/>
      <c r="BL42" s="1"/>
    </row>
    <row r="43" spans="1:67" ht="14" customHeight="1" x14ac:dyDescent="0.15">
      <c r="F43" s="1"/>
      <c r="I43" s="1"/>
      <c r="J43" s="1"/>
      <c r="K43" s="1"/>
      <c r="N43" s="1"/>
      <c r="O43" s="1"/>
      <c r="P43" s="1"/>
      <c r="Q43" s="1"/>
      <c r="R43" s="1"/>
      <c r="S43" s="1"/>
      <c r="T43" s="1"/>
      <c r="U43" s="36"/>
      <c r="V43" s="31"/>
      <c r="W43" s="1"/>
      <c r="X43" s="1"/>
      <c r="AB43" s="1"/>
      <c r="AF43" s="1"/>
      <c r="AJ43" s="1"/>
      <c r="AN43" s="1"/>
      <c r="AR43" s="1"/>
      <c r="AV43" s="1"/>
      <c r="AZ43" s="1"/>
      <c r="BD43" s="1"/>
      <c r="BH43" s="1"/>
      <c r="BL43" s="1"/>
    </row>
    <row r="44" spans="1:67" ht="14" customHeight="1" x14ac:dyDescent="0.15">
      <c r="F44" s="1"/>
      <c r="I44" s="1"/>
      <c r="J44" s="1"/>
      <c r="K44" s="1"/>
      <c r="N44" s="1"/>
      <c r="O44" s="1"/>
      <c r="P44" s="1"/>
      <c r="Q44" s="1"/>
      <c r="R44" s="1"/>
      <c r="S44" s="1"/>
      <c r="T44" s="1"/>
      <c r="U44" s="36"/>
      <c r="V44" s="31"/>
      <c r="W44" s="1"/>
      <c r="X44" s="1"/>
      <c r="AB44" s="1"/>
      <c r="AF44" s="1"/>
      <c r="AJ44" s="1"/>
      <c r="AN44" s="1"/>
      <c r="AR44" s="1"/>
      <c r="AV44" s="1"/>
      <c r="AZ44" s="1"/>
      <c r="BD44" s="1"/>
      <c r="BH44" s="1"/>
      <c r="BL44" s="1"/>
    </row>
    <row r="45" spans="1:67" ht="14" customHeight="1" x14ac:dyDescent="0.15">
      <c r="F45" s="1"/>
      <c r="I45" s="1"/>
      <c r="J45" s="1"/>
      <c r="K45" s="1"/>
      <c r="N45" s="1"/>
      <c r="O45" s="1"/>
      <c r="P45" s="1"/>
      <c r="Q45" s="1"/>
      <c r="R45" s="1"/>
      <c r="S45" s="1"/>
      <c r="T45" s="1"/>
      <c r="U45" s="36"/>
      <c r="V45" s="31"/>
      <c r="W45" s="1"/>
      <c r="X45" s="1"/>
      <c r="AB45" s="1"/>
      <c r="AF45" s="1"/>
      <c r="AJ45" s="1"/>
      <c r="AN45" s="1"/>
      <c r="AR45" s="1"/>
      <c r="AV45" s="1"/>
      <c r="AZ45" s="1"/>
      <c r="BD45" s="1"/>
      <c r="BH45" s="1"/>
      <c r="BL45" s="1"/>
    </row>
    <row r="46" spans="1:67" ht="14" customHeight="1" x14ac:dyDescent="0.15">
      <c r="F46" s="1"/>
      <c r="I46" s="1"/>
      <c r="J46" s="1"/>
      <c r="K46" s="1"/>
      <c r="N46" s="1"/>
      <c r="O46" s="1"/>
      <c r="P46" s="1"/>
      <c r="Q46" s="1"/>
      <c r="R46" s="1"/>
      <c r="S46" s="1"/>
      <c r="T46" s="1"/>
      <c r="U46" s="36"/>
      <c r="V46" s="31"/>
      <c r="W46" s="1"/>
      <c r="X46" s="1"/>
      <c r="AB46" s="1"/>
      <c r="AF46" s="1"/>
      <c r="AJ46" s="1"/>
      <c r="AN46" s="1"/>
      <c r="AR46" s="1"/>
      <c r="AV46" s="1"/>
      <c r="AZ46" s="1"/>
      <c r="BD46" s="1"/>
      <c r="BH46" s="1"/>
      <c r="BL46" s="1"/>
    </row>
    <row r="47" spans="1:67" ht="14" customHeight="1" x14ac:dyDescent="0.15">
      <c r="F47" s="1"/>
      <c r="I47" s="1"/>
      <c r="J47" s="1"/>
      <c r="K47" s="1"/>
      <c r="N47" s="1"/>
      <c r="O47" s="1"/>
      <c r="P47" s="1"/>
      <c r="Q47" s="1"/>
      <c r="R47" s="1"/>
      <c r="S47" s="1"/>
      <c r="T47" s="1"/>
      <c r="U47" s="36"/>
      <c r="V47" s="31"/>
      <c r="W47" s="1"/>
      <c r="X47" s="1"/>
      <c r="AB47" s="1"/>
      <c r="AF47" s="1"/>
      <c r="AJ47" s="1"/>
      <c r="AN47" s="1"/>
      <c r="AR47" s="1"/>
      <c r="AV47" s="1"/>
      <c r="AZ47" s="1"/>
      <c r="BD47" s="1"/>
      <c r="BH47" s="1"/>
      <c r="BL47" s="1"/>
    </row>
    <row r="48" spans="1:67" ht="14" customHeight="1" x14ac:dyDescent="0.15">
      <c r="F48" s="1"/>
      <c r="I48" s="1"/>
      <c r="J48" s="1"/>
      <c r="K48" s="1"/>
      <c r="N48" s="1"/>
      <c r="O48" s="1"/>
      <c r="P48" s="1"/>
      <c r="Q48" s="1"/>
      <c r="R48" s="1"/>
      <c r="S48" s="1"/>
      <c r="T48" s="1"/>
      <c r="U48" s="36"/>
      <c r="V48" s="31"/>
      <c r="W48" s="1"/>
      <c r="X48" s="1"/>
      <c r="AB48" s="1"/>
      <c r="AF48" s="1"/>
      <c r="AJ48" s="1"/>
      <c r="AN48" s="1"/>
      <c r="AR48" s="1"/>
      <c r="AV48" s="1"/>
      <c r="AZ48" s="1"/>
      <c r="BD48" s="1"/>
      <c r="BH48" s="1"/>
      <c r="BL48" s="1"/>
    </row>
    <row r="49" spans="6:64" ht="14" customHeight="1" x14ac:dyDescent="0.15">
      <c r="F49" s="1"/>
      <c r="I49" s="1"/>
      <c r="J49" s="1"/>
      <c r="K49" s="1"/>
      <c r="N49" s="1"/>
      <c r="O49" s="1"/>
      <c r="P49" s="1"/>
      <c r="Q49" s="1"/>
      <c r="R49" s="1"/>
      <c r="S49" s="1"/>
      <c r="T49" s="1"/>
      <c r="U49" s="36"/>
      <c r="V49" s="31"/>
      <c r="W49" s="1"/>
      <c r="X49" s="1"/>
      <c r="AB49" s="1"/>
      <c r="AF49" s="1"/>
      <c r="AJ49" s="1"/>
      <c r="AN49" s="1"/>
      <c r="AR49" s="1"/>
      <c r="AV49" s="1"/>
      <c r="AZ49" s="1"/>
      <c r="BD49" s="1"/>
      <c r="BH49" s="1"/>
      <c r="BL49" s="1"/>
    </row>
    <row r="50" spans="6:64" ht="14" customHeight="1" x14ac:dyDescent="0.15">
      <c r="F50" s="1"/>
      <c r="I50" s="1"/>
      <c r="J50" s="1"/>
      <c r="K50" s="1"/>
      <c r="N50" s="1"/>
      <c r="O50" s="1"/>
      <c r="P50" s="1"/>
      <c r="Q50" s="1"/>
      <c r="R50" s="1"/>
      <c r="S50" s="1"/>
      <c r="T50" s="1"/>
      <c r="U50" s="36"/>
      <c r="V50" s="31"/>
      <c r="W50" s="1"/>
      <c r="X50" s="1"/>
      <c r="AB50" s="1"/>
      <c r="AF50" s="1"/>
      <c r="AJ50" s="1"/>
      <c r="AN50" s="1"/>
      <c r="AR50" s="1"/>
      <c r="AV50" s="1"/>
      <c r="AZ50" s="1"/>
      <c r="BD50" s="1"/>
      <c r="BH50" s="1"/>
      <c r="BL50" s="1"/>
    </row>
    <row r="51" spans="6:64" ht="14" customHeight="1" x14ac:dyDescent="0.15">
      <c r="F51" s="1"/>
      <c r="I51" s="1"/>
      <c r="J51" s="1"/>
      <c r="K51" s="1"/>
      <c r="N51" s="1"/>
      <c r="O51" s="1"/>
      <c r="P51" s="1"/>
      <c r="Q51" s="1"/>
      <c r="R51" s="1"/>
      <c r="S51" s="1"/>
      <c r="T51" s="1"/>
      <c r="U51" s="36"/>
      <c r="V51" s="31"/>
      <c r="W51" s="1"/>
      <c r="X51" s="1"/>
      <c r="AB51" s="1"/>
      <c r="AF51" s="1"/>
      <c r="AJ51" s="1"/>
      <c r="AN51" s="1"/>
      <c r="AR51" s="1"/>
      <c r="AV51" s="1"/>
      <c r="AZ51" s="1"/>
      <c r="BD51" s="1"/>
      <c r="BH51" s="1"/>
      <c r="BL51" s="1"/>
    </row>
    <row r="52" spans="6:64" ht="14" customHeight="1" x14ac:dyDescent="0.15">
      <c r="F52" s="1"/>
      <c r="I52" s="1"/>
      <c r="J52" s="1"/>
      <c r="K52" s="1"/>
      <c r="N52" s="1"/>
      <c r="O52" s="1"/>
      <c r="P52" s="1"/>
      <c r="Q52" s="1"/>
      <c r="R52" s="1"/>
      <c r="S52" s="1"/>
      <c r="T52" s="1"/>
      <c r="U52" s="36"/>
      <c r="V52" s="31"/>
      <c r="W52" s="1"/>
      <c r="X52" s="1"/>
      <c r="AB52" s="1"/>
      <c r="AF52" s="1"/>
      <c r="AJ52" s="1"/>
      <c r="AN52" s="1"/>
      <c r="AR52" s="1"/>
      <c r="AV52" s="1"/>
      <c r="AZ52" s="1"/>
      <c r="BD52" s="1"/>
      <c r="BH52" s="1"/>
      <c r="BL52" s="1"/>
    </row>
    <row r="53" spans="6:64" ht="14" customHeight="1" x14ac:dyDescent="0.15">
      <c r="F53" s="1"/>
      <c r="I53" s="1"/>
      <c r="J53" s="1"/>
      <c r="K53" s="1"/>
      <c r="N53" s="1"/>
      <c r="O53" s="1"/>
      <c r="P53" s="1"/>
      <c r="Q53" s="1"/>
      <c r="R53" s="1"/>
      <c r="S53" s="1"/>
      <c r="T53" s="1"/>
      <c r="U53" s="36"/>
      <c r="V53" s="31"/>
      <c r="W53" s="1"/>
      <c r="X53" s="1"/>
      <c r="AB53" s="1"/>
      <c r="AF53" s="1"/>
      <c r="AJ53" s="1"/>
      <c r="AN53" s="1"/>
      <c r="AR53" s="1"/>
      <c r="AV53" s="1"/>
      <c r="AZ53" s="1"/>
      <c r="BD53" s="1"/>
      <c r="BH53" s="1"/>
      <c r="BL53" s="1"/>
    </row>
    <row r="54" spans="6:64" ht="14" customHeight="1" x14ac:dyDescent="0.15">
      <c r="F54" s="1"/>
      <c r="I54" s="1"/>
      <c r="J54" s="1"/>
      <c r="K54" s="1"/>
      <c r="N54" s="1"/>
      <c r="O54" s="1"/>
      <c r="P54" s="1"/>
      <c r="Q54" s="1"/>
      <c r="R54" s="1"/>
      <c r="S54" s="1"/>
      <c r="T54" s="1"/>
      <c r="U54" s="36"/>
      <c r="V54" s="31"/>
      <c r="W54" s="1"/>
      <c r="X54" s="1"/>
      <c r="AB54" s="1"/>
      <c r="AF54" s="1"/>
      <c r="AJ54" s="1"/>
      <c r="AN54" s="1"/>
      <c r="AR54" s="1"/>
      <c r="AV54" s="1"/>
      <c r="AZ54" s="1"/>
      <c r="BD54" s="1"/>
      <c r="BH54" s="1"/>
      <c r="BL54" s="1"/>
    </row>
    <row r="55" spans="6:64" ht="14" customHeight="1" x14ac:dyDescent="0.15">
      <c r="F55" s="1"/>
      <c r="I55" s="1"/>
      <c r="J55" s="1"/>
      <c r="K55" s="1"/>
      <c r="N55" s="1"/>
      <c r="O55" s="1"/>
      <c r="P55" s="1"/>
      <c r="Q55" s="1"/>
      <c r="R55" s="1"/>
      <c r="S55" s="1"/>
      <c r="T55" s="1"/>
      <c r="U55" s="36"/>
      <c r="V55" s="31"/>
      <c r="W55" s="1"/>
      <c r="X55" s="1"/>
      <c r="AB55" s="1"/>
      <c r="AF55" s="1"/>
      <c r="AJ55" s="1"/>
      <c r="AN55" s="1"/>
      <c r="AR55" s="1"/>
      <c r="AV55" s="1"/>
      <c r="AZ55" s="1"/>
      <c r="BD55" s="1"/>
      <c r="BH55" s="1"/>
      <c r="BL55" s="1"/>
    </row>
    <row r="56" spans="6:64" ht="14" customHeight="1" x14ac:dyDescent="0.15">
      <c r="F56" s="1"/>
      <c r="I56" s="1"/>
      <c r="J56" s="1"/>
      <c r="K56" s="1"/>
      <c r="N56" s="1"/>
      <c r="O56" s="1"/>
      <c r="P56" s="1"/>
      <c r="Q56" s="1"/>
      <c r="R56" s="1"/>
      <c r="S56" s="1"/>
      <c r="T56" s="1"/>
      <c r="U56" s="36"/>
      <c r="V56" s="31"/>
      <c r="W56" s="1"/>
      <c r="X56" s="1"/>
      <c r="AB56" s="1"/>
      <c r="AF56" s="1"/>
      <c r="AJ56" s="1"/>
      <c r="AN56" s="1"/>
      <c r="AR56" s="1"/>
      <c r="AV56" s="1"/>
      <c r="AZ56" s="1"/>
      <c r="BD56" s="1"/>
      <c r="BH56" s="1"/>
      <c r="BL56" s="1"/>
    </row>
    <row r="57" spans="6:64" ht="14" customHeight="1" x14ac:dyDescent="0.15">
      <c r="F57" s="1"/>
      <c r="I57" s="1"/>
      <c r="J57" s="1"/>
      <c r="K57" s="1"/>
      <c r="N57" s="1"/>
      <c r="O57" s="1"/>
      <c r="P57" s="1"/>
      <c r="Q57" s="1"/>
      <c r="R57" s="1"/>
      <c r="S57" s="1"/>
      <c r="T57" s="1"/>
      <c r="U57" s="36"/>
      <c r="V57" s="31"/>
      <c r="W57" s="1"/>
      <c r="X57" s="1"/>
      <c r="AB57" s="1"/>
      <c r="AF57" s="1"/>
      <c r="AJ57" s="1"/>
      <c r="AN57" s="1"/>
      <c r="AR57" s="1"/>
      <c r="AV57" s="1"/>
      <c r="AZ57" s="1"/>
      <c r="BD57" s="1"/>
      <c r="BH57" s="1"/>
      <c r="BL57" s="1"/>
    </row>
    <row r="58" spans="6:64" ht="14" customHeight="1" x14ac:dyDescent="0.15">
      <c r="F58" s="1"/>
      <c r="I58" s="1"/>
      <c r="J58" s="1"/>
      <c r="K58" s="1"/>
      <c r="N58" s="1"/>
      <c r="O58" s="1"/>
      <c r="P58" s="1"/>
      <c r="Q58" s="1"/>
      <c r="R58" s="1"/>
      <c r="S58" s="1"/>
      <c r="T58" s="1"/>
      <c r="U58" s="36"/>
      <c r="V58" s="31"/>
      <c r="W58" s="1"/>
      <c r="X58" s="1"/>
      <c r="AB58" s="1"/>
      <c r="AF58" s="1"/>
      <c r="AJ58" s="1"/>
      <c r="AN58" s="1"/>
      <c r="AR58" s="1"/>
      <c r="AV58" s="1"/>
      <c r="AZ58" s="1"/>
      <c r="BD58" s="1"/>
      <c r="BH58" s="1"/>
      <c r="BL58" s="1"/>
    </row>
    <row r="59" spans="6:64" ht="14" customHeight="1" x14ac:dyDescent="0.15">
      <c r="F59" s="1"/>
      <c r="I59" s="1"/>
      <c r="J59" s="1"/>
      <c r="K59" s="1"/>
      <c r="N59" s="1"/>
      <c r="O59" s="1"/>
      <c r="P59" s="1"/>
      <c r="Q59" s="1"/>
      <c r="R59" s="1"/>
      <c r="S59" s="1"/>
      <c r="T59" s="1"/>
      <c r="U59" s="36"/>
      <c r="V59" s="31"/>
      <c r="W59" s="1"/>
      <c r="X59" s="1"/>
      <c r="AB59" s="1"/>
      <c r="AF59" s="1"/>
      <c r="AJ59" s="1"/>
      <c r="AN59" s="1"/>
      <c r="AR59" s="1"/>
      <c r="AV59" s="1"/>
      <c r="AZ59" s="1"/>
      <c r="BD59" s="1"/>
      <c r="BH59" s="1"/>
      <c r="BL59" s="1"/>
    </row>
    <row r="60" spans="6:64" ht="14" customHeight="1" x14ac:dyDescent="0.15">
      <c r="F60" s="1"/>
      <c r="I60" s="1"/>
      <c r="J60" s="1"/>
      <c r="K60" s="1"/>
      <c r="N60" s="1"/>
      <c r="O60" s="1"/>
      <c r="P60" s="1"/>
      <c r="Q60" s="1"/>
      <c r="R60" s="1"/>
      <c r="S60" s="1"/>
      <c r="T60" s="1"/>
      <c r="U60" s="36"/>
      <c r="V60" s="31"/>
      <c r="W60" s="1"/>
      <c r="X60" s="1"/>
      <c r="AB60" s="1"/>
      <c r="AF60" s="1"/>
      <c r="AJ60" s="1"/>
      <c r="AN60" s="1"/>
      <c r="AR60" s="1"/>
      <c r="AV60" s="1"/>
      <c r="AZ60" s="1"/>
      <c r="BD60" s="1"/>
      <c r="BH60" s="1"/>
      <c r="BL60" s="1"/>
    </row>
    <row r="61" spans="6:64" ht="14" customHeight="1" x14ac:dyDescent="0.15">
      <c r="F61" s="1"/>
      <c r="I61" s="1"/>
      <c r="J61" s="1"/>
      <c r="K61" s="1"/>
      <c r="N61" s="1"/>
      <c r="O61" s="1"/>
      <c r="P61" s="1"/>
      <c r="Q61" s="1"/>
      <c r="R61" s="1"/>
      <c r="S61" s="1"/>
      <c r="T61" s="1"/>
      <c r="U61" s="36"/>
      <c r="V61" s="31"/>
      <c r="W61" s="1"/>
      <c r="X61" s="1"/>
      <c r="AB61" s="1"/>
      <c r="AF61" s="1"/>
      <c r="AJ61" s="1"/>
      <c r="AN61" s="1"/>
      <c r="AR61" s="1"/>
      <c r="AV61" s="1"/>
      <c r="AZ61" s="1"/>
      <c r="BD61" s="1"/>
      <c r="BH61" s="1"/>
      <c r="BL61" s="1"/>
    </row>
    <row r="62" spans="6:64" ht="14" customHeight="1" x14ac:dyDescent="0.15">
      <c r="F62" s="1"/>
      <c r="I62" s="1"/>
      <c r="J62" s="1"/>
      <c r="K62" s="1"/>
      <c r="N62" s="1"/>
      <c r="O62" s="1"/>
      <c r="P62" s="1"/>
      <c r="Q62" s="1"/>
      <c r="R62" s="1"/>
      <c r="S62" s="1"/>
      <c r="T62" s="1"/>
      <c r="U62" s="36"/>
      <c r="V62" s="31"/>
      <c r="W62" s="1"/>
      <c r="X62" s="1"/>
      <c r="AB62" s="1"/>
      <c r="AF62" s="1"/>
      <c r="AJ62" s="1"/>
      <c r="AN62" s="1"/>
      <c r="AR62" s="1"/>
      <c r="AV62" s="1"/>
      <c r="AZ62" s="1"/>
      <c r="BD62" s="1"/>
      <c r="BH62" s="1"/>
      <c r="BL62" s="1"/>
    </row>
    <row r="63" spans="6:64" ht="14" customHeight="1" x14ac:dyDescent="0.15">
      <c r="F63" s="1"/>
      <c r="I63" s="1"/>
      <c r="J63" s="1"/>
      <c r="K63" s="1"/>
      <c r="N63" s="1"/>
      <c r="O63" s="1"/>
      <c r="P63" s="1"/>
      <c r="Q63" s="1"/>
      <c r="R63" s="1"/>
      <c r="S63" s="1"/>
      <c r="T63" s="1"/>
      <c r="U63" s="36"/>
      <c r="V63" s="31"/>
      <c r="W63" s="1"/>
      <c r="X63" s="1"/>
      <c r="AB63" s="1"/>
      <c r="AF63" s="1"/>
      <c r="AJ63" s="1"/>
      <c r="AN63" s="1"/>
      <c r="AR63" s="1"/>
      <c r="AV63" s="1"/>
      <c r="AZ63" s="1"/>
      <c r="BD63" s="1"/>
      <c r="BH63" s="1"/>
      <c r="BL63" s="1"/>
    </row>
    <row r="64" spans="6:64" ht="14" customHeight="1" x14ac:dyDescent="0.15">
      <c r="F64" s="1"/>
      <c r="I64" s="1"/>
      <c r="J64" s="1"/>
      <c r="K64" s="1"/>
      <c r="N64" s="1"/>
      <c r="O64" s="1"/>
      <c r="P64" s="1"/>
      <c r="Q64" s="1"/>
      <c r="R64" s="1"/>
      <c r="S64" s="1"/>
      <c r="T64" s="1"/>
      <c r="U64" s="36"/>
      <c r="V64" s="31"/>
      <c r="W64" s="1"/>
      <c r="X64" s="1"/>
      <c r="AB64" s="1"/>
      <c r="AF64" s="1"/>
      <c r="AJ64" s="1"/>
      <c r="AN64" s="1"/>
      <c r="AR64" s="1"/>
      <c r="AV64" s="1"/>
      <c r="AZ64" s="1"/>
      <c r="BD64" s="1"/>
      <c r="BH64" s="1"/>
      <c r="BL64" s="1"/>
    </row>
    <row r="65" spans="6:64" ht="14" customHeight="1" x14ac:dyDescent="0.15">
      <c r="F65" s="1"/>
      <c r="I65" s="1"/>
      <c r="J65" s="1"/>
      <c r="K65" s="1"/>
      <c r="N65" s="1"/>
      <c r="O65" s="1"/>
      <c r="P65" s="1"/>
      <c r="Q65" s="1"/>
      <c r="R65" s="1"/>
      <c r="S65" s="1"/>
      <c r="T65" s="1"/>
      <c r="U65" s="36"/>
      <c r="V65" s="31"/>
      <c r="W65" s="1"/>
      <c r="X65" s="1"/>
      <c r="AB65" s="1"/>
      <c r="AF65" s="1"/>
      <c r="AJ65" s="1"/>
      <c r="AN65" s="1"/>
      <c r="AR65" s="1"/>
      <c r="AV65" s="1"/>
      <c r="AZ65" s="1"/>
      <c r="BD65" s="1"/>
      <c r="BH65" s="1"/>
      <c r="BL65" s="1"/>
    </row>
    <row r="66" spans="6:64" ht="14" customHeight="1" x14ac:dyDescent="0.15">
      <c r="F66" s="1"/>
      <c r="I66" s="1"/>
      <c r="J66" s="1"/>
      <c r="K66" s="1"/>
      <c r="N66" s="1"/>
      <c r="O66" s="1"/>
      <c r="P66" s="1"/>
      <c r="Q66" s="1"/>
      <c r="R66" s="1"/>
      <c r="S66" s="1"/>
      <c r="T66" s="1"/>
      <c r="U66" s="36"/>
      <c r="V66" s="31"/>
      <c r="W66" s="1"/>
      <c r="X66" s="1"/>
      <c r="AB66" s="1"/>
      <c r="AF66" s="1"/>
      <c r="AJ66" s="1"/>
      <c r="AN66" s="1"/>
      <c r="AR66" s="1"/>
      <c r="AV66" s="1"/>
      <c r="AZ66" s="1"/>
      <c r="BD66" s="1"/>
      <c r="BH66" s="1"/>
      <c r="BL66" s="1"/>
    </row>
    <row r="67" spans="6:64" ht="14" customHeight="1" x14ac:dyDescent="0.15">
      <c r="F67" s="1"/>
      <c r="I67" s="1"/>
      <c r="J67" s="1"/>
      <c r="K67" s="1"/>
      <c r="N67" s="1"/>
      <c r="O67" s="1"/>
      <c r="P67" s="1"/>
      <c r="Q67" s="1"/>
      <c r="R67" s="1"/>
      <c r="S67" s="1"/>
      <c r="T67" s="1"/>
      <c r="U67" s="36"/>
      <c r="V67" s="31"/>
      <c r="W67" s="1"/>
      <c r="X67" s="1"/>
      <c r="AB67" s="1"/>
      <c r="AF67" s="1"/>
      <c r="AJ67" s="1"/>
      <c r="AN67" s="1"/>
      <c r="AR67" s="1"/>
      <c r="AV67" s="1"/>
      <c r="AZ67" s="1"/>
      <c r="BD67" s="1"/>
      <c r="BH67" s="1"/>
      <c r="BL67" s="1"/>
    </row>
    <row r="68" spans="6:64" ht="14" customHeight="1" x14ac:dyDescent="0.15">
      <c r="F68" s="1"/>
      <c r="I68" s="1"/>
      <c r="J68" s="1"/>
      <c r="K68" s="1"/>
      <c r="N68" s="1"/>
      <c r="O68" s="1"/>
      <c r="P68" s="1"/>
      <c r="Q68" s="1"/>
      <c r="R68" s="1"/>
      <c r="S68" s="1"/>
      <c r="T68" s="1"/>
      <c r="U68" s="36"/>
      <c r="V68" s="31"/>
      <c r="W68" s="1"/>
      <c r="X68" s="1"/>
      <c r="AB68" s="1"/>
      <c r="AF68" s="1"/>
      <c r="AJ68" s="1"/>
      <c r="AN68" s="1"/>
      <c r="AR68" s="1"/>
      <c r="AV68" s="1"/>
      <c r="AZ68" s="1"/>
      <c r="BD68" s="1"/>
      <c r="BH68" s="1"/>
      <c r="BL68" s="1"/>
    </row>
    <row r="69" spans="6:64" ht="14" customHeight="1" x14ac:dyDescent="0.15">
      <c r="F69" s="1"/>
      <c r="I69" s="1"/>
      <c r="J69" s="1"/>
      <c r="K69" s="1"/>
      <c r="N69" s="1"/>
      <c r="O69" s="1"/>
      <c r="P69" s="1"/>
      <c r="Q69" s="1"/>
      <c r="R69" s="1"/>
      <c r="S69" s="1"/>
      <c r="T69" s="1"/>
      <c r="U69" s="36"/>
      <c r="V69" s="31"/>
      <c r="W69" s="1"/>
      <c r="X69" s="1"/>
      <c r="AB69" s="1"/>
      <c r="AF69" s="1"/>
      <c r="AJ69" s="1"/>
      <c r="AN69" s="1"/>
      <c r="AR69" s="1"/>
      <c r="AV69" s="1"/>
      <c r="AZ69" s="1"/>
      <c r="BD69" s="1"/>
      <c r="BH69" s="1"/>
      <c r="BL69" s="1"/>
    </row>
    <row r="70" spans="6:64" ht="14" customHeight="1" x14ac:dyDescent="0.15">
      <c r="F70" s="1"/>
      <c r="I70" s="1"/>
      <c r="J70" s="1"/>
      <c r="K70" s="1"/>
      <c r="N70" s="1"/>
      <c r="O70" s="1"/>
      <c r="P70" s="1"/>
      <c r="Q70" s="1"/>
      <c r="R70" s="1"/>
      <c r="S70" s="1"/>
      <c r="T70" s="1"/>
      <c r="U70" s="36"/>
      <c r="V70" s="31"/>
      <c r="W70" s="1"/>
      <c r="X70" s="1"/>
      <c r="AB70" s="1"/>
      <c r="AF70" s="1"/>
      <c r="AJ70" s="1"/>
      <c r="AN70" s="1"/>
      <c r="AR70" s="1"/>
      <c r="AV70" s="1"/>
      <c r="AZ70" s="1"/>
      <c r="BD70" s="1"/>
      <c r="BH70" s="1"/>
      <c r="BL70" s="1"/>
    </row>
    <row r="71" spans="6:64" ht="14" customHeight="1" x14ac:dyDescent="0.15">
      <c r="F71" s="1"/>
      <c r="I71" s="1"/>
      <c r="J71" s="1"/>
      <c r="K71" s="1"/>
      <c r="N71" s="1"/>
      <c r="O71" s="1"/>
      <c r="P71" s="1"/>
      <c r="Q71" s="1"/>
      <c r="R71" s="1"/>
      <c r="S71" s="1"/>
      <c r="T71" s="1"/>
      <c r="U71" s="36"/>
      <c r="V71" s="31"/>
      <c r="W71" s="1"/>
      <c r="X71" s="1"/>
      <c r="AB71" s="1"/>
      <c r="AF71" s="1"/>
      <c r="AJ71" s="1"/>
      <c r="AN71" s="1"/>
      <c r="AR71" s="1"/>
      <c r="AV71" s="1"/>
      <c r="AZ71" s="1"/>
      <c r="BD71" s="1"/>
      <c r="BH71" s="1"/>
      <c r="BL71" s="1"/>
    </row>
    <row r="72" spans="6:64" ht="14" customHeight="1" x14ac:dyDescent="0.15">
      <c r="F72" s="1"/>
      <c r="I72" s="1"/>
      <c r="J72" s="1"/>
      <c r="K72" s="1"/>
      <c r="N72" s="1"/>
      <c r="O72" s="1"/>
      <c r="P72" s="1"/>
      <c r="Q72" s="1"/>
      <c r="R72" s="1"/>
      <c r="S72" s="1"/>
      <c r="T72" s="1"/>
      <c r="U72" s="36"/>
      <c r="V72" s="31"/>
      <c r="W72" s="1"/>
      <c r="X72" s="1"/>
      <c r="AB72" s="1"/>
      <c r="AF72" s="1"/>
      <c r="AJ72" s="1"/>
      <c r="AN72" s="1"/>
      <c r="AR72" s="1"/>
      <c r="AV72" s="1"/>
      <c r="AZ72" s="1"/>
      <c r="BD72" s="1"/>
      <c r="BH72" s="1"/>
      <c r="BL72" s="1"/>
    </row>
    <row r="73" spans="6:64" ht="14" customHeight="1" x14ac:dyDescent="0.15">
      <c r="F73" s="1"/>
      <c r="I73" s="1"/>
      <c r="J73" s="1"/>
      <c r="K73" s="1"/>
      <c r="N73" s="1"/>
      <c r="O73" s="1"/>
      <c r="P73" s="1"/>
      <c r="Q73" s="1"/>
      <c r="R73" s="1"/>
      <c r="S73" s="1"/>
      <c r="T73" s="1"/>
      <c r="U73" s="36"/>
      <c r="V73" s="31"/>
      <c r="W73" s="1"/>
      <c r="X73" s="1"/>
      <c r="AB73" s="1"/>
      <c r="AF73" s="1"/>
      <c r="AJ73" s="1"/>
      <c r="AN73" s="1"/>
      <c r="AR73" s="1"/>
      <c r="AV73" s="1"/>
      <c r="AZ73" s="1"/>
      <c r="BD73" s="1"/>
      <c r="BH73" s="1"/>
      <c r="BL73" s="1"/>
    </row>
    <row r="74" spans="6:64" ht="14" customHeight="1" x14ac:dyDescent="0.15">
      <c r="F74" s="1"/>
      <c r="I74" s="1"/>
      <c r="J74" s="1"/>
      <c r="K74" s="1"/>
      <c r="N74" s="1"/>
      <c r="O74" s="1"/>
      <c r="P74" s="1"/>
      <c r="Q74" s="1"/>
      <c r="R74" s="1"/>
      <c r="S74" s="1"/>
      <c r="T74" s="1"/>
      <c r="U74" s="36"/>
      <c r="V74" s="31"/>
      <c r="W74" s="1"/>
      <c r="X74" s="1"/>
      <c r="AB74" s="1"/>
      <c r="AF74" s="1"/>
      <c r="AJ74" s="1"/>
      <c r="AN74" s="1"/>
      <c r="AR74" s="1"/>
      <c r="AV74" s="1"/>
      <c r="AZ74" s="1"/>
      <c r="BD74" s="1"/>
      <c r="BH74" s="1"/>
      <c r="BL74" s="1"/>
    </row>
    <row r="75" spans="6:64" ht="14" customHeight="1" x14ac:dyDescent="0.15">
      <c r="F75" s="1"/>
      <c r="I75" s="1"/>
      <c r="J75" s="1"/>
      <c r="K75" s="1"/>
      <c r="N75" s="1"/>
      <c r="O75" s="1"/>
      <c r="P75" s="1"/>
      <c r="Q75" s="1"/>
      <c r="R75" s="1"/>
      <c r="S75" s="1"/>
      <c r="T75" s="1"/>
      <c r="U75" s="36"/>
      <c r="V75" s="31"/>
      <c r="W75" s="1"/>
      <c r="X75" s="1"/>
      <c r="AB75" s="1"/>
      <c r="AF75" s="1"/>
      <c r="AJ75" s="1"/>
      <c r="AN75" s="1"/>
      <c r="AR75" s="1"/>
      <c r="AV75" s="1"/>
      <c r="AZ75" s="1"/>
      <c r="BD75" s="1"/>
      <c r="BH75" s="1"/>
      <c r="BL75" s="1"/>
    </row>
    <row r="76" spans="6:64" ht="14" customHeight="1" x14ac:dyDescent="0.15">
      <c r="F76" s="1"/>
      <c r="I76" s="1"/>
      <c r="J76" s="1"/>
      <c r="K76" s="1"/>
      <c r="N76" s="1"/>
      <c r="O76" s="1"/>
      <c r="P76" s="1"/>
      <c r="Q76" s="1"/>
      <c r="R76" s="1"/>
      <c r="S76" s="1"/>
      <c r="T76" s="1"/>
      <c r="U76" s="36"/>
      <c r="V76" s="31"/>
      <c r="W76" s="1"/>
      <c r="X76" s="1"/>
      <c r="AB76" s="1"/>
      <c r="AF76" s="1"/>
      <c r="AJ76" s="1"/>
      <c r="AN76" s="1"/>
      <c r="AR76" s="1"/>
      <c r="AV76" s="1"/>
      <c r="AZ76" s="1"/>
      <c r="BD76" s="1"/>
      <c r="BH76" s="1"/>
      <c r="BL76" s="1"/>
    </row>
    <row r="77" spans="6:64" ht="14" customHeight="1" x14ac:dyDescent="0.15">
      <c r="F77" s="1"/>
      <c r="I77" s="1"/>
      <c r="J77" s="1"/>
      <c r="K77" s="1"/>
      <c r="N77" s="1"/>
      <c r="O77" s="1"/>
      <c r="P77" s="1"/>
      <c r="Q77" s="1"/>
      <c r="R77" s="1"/>
      <c r="S77" s="1"/>
      <c r="T77" s="1"/>
      <c r="U77" s="36"/>
      <c r="V77" s="31"/>
      <c r="W77" s="1"/>
      <c r="X77" s="1"/>
      <c r="AB77" s="1"/>
      <c r="AF77" s="1"/>
      <c r="AJ77" s="1"/>
      <c r="AN77" s="1"/>
      <c r="AR77" s="1"/>
      <c r="AV77" s="1"/>
      <c r="AZ77" s="1"/>
      <c r="BD77" s="1"/>
      <c r="BH77" s="1"/>
      <c r="BL77" s="1"/>
    </row>
    <row r="78" spans="6:64" ht="14" customHeight="1" x14ac:dyDescent="0.15">
      <c r="F78" s="1"/>
      <c r="I78" s="1"/>
      <c r="J78" s="1"/>
      <c r="K78" s="1"/>
      <c r="N78" s="1"/>
      <c r="O78" s="1"/>
      <c r="P78" s="1"/>
      <c r="Q78" s="1"/>
      <c r="R78" s="1"/>
      <c r="S78" s="1"/>
      <c r="T78" s="1"/>
      <c r="U78" s="36"/>
      <c r="V78" s="31"/>
      <c r="W78" s="1"/>
      <c r="X78" s="1"/>
      <c r="AB78" s="1"/>
      <c r="AF78" s="1"/>
      <c r="AJ78" s="1"/>
      <c r="AN78" s="1"/>
      <c r="AR78" s="1"/>
      <c r="AV78" s="1"/>
      <c r="AZ78" s="1"/>
      <c r="BD78" s="1"/>
      <c r="BH78" s="1"/>
      <c r="BL78" s="1"/>
    </row>
  </sheetData>
  <mergeCells count="12">
    <mergeCell ref="G3:J3"/>
    <mergeCell ref="Y3:AA3"/>
    <mergeCell ref="L3:O3"/>
    <mergeCell ref="S3:T3"/>
    <mergeCell ref="AC3:AE3"/>
    <mergeCell ref="BE3:BG3"/>
    <mergeCell ref="BI3:BK3"/>
    <mergeCell ref="AG3:AI3"/>
    <mergeCell ref="AO3:AQ3"/>
    <mergeCell ref="AS3:AU3"/>
    <mergeCell ref="AW3:AY3"/>
    <mergeCell ref="BA3:B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0D1413-BD61-EA4D-AD1F-54F14D2023E3}">
          <x14:formula1>
            <xm:f>'[covidia_1.02.xlsx]do not delete'!#REF!</xm:f>
          </x14:formula1>
          <xm:sqref>B8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6B3D-2E23-A84F-87B2-B8AC8610BE2F}">
  <dimension ref="B2:C5"/>
  <sheetViews>
    <sheetView workbookViewId="0">
      <selection activeCell="C5" sqref="C5"/>
    </sheetView>
  </sheetViews>
  <sheetFormatPr baseColWidth="10" defaultRowHeight="16" x14ac:dyDescent="0.2"/>
  <cols>
    <col min="2" max="2" width="15.33203125" bestFit="1" customWidth="1"/>
  </cols>
  <sheetData>
    <row r="2" spans="2:3" x14ac:dyDescent="0.2">
      <c r="B2" t="s">
        <v>31</v>
      </c>
      <c r="C2">
        <v>0</v>
      </c>
    </row>
    <row r="3" spans="2:3" x14ac:dyDescent="0.2">
      <c r="B3" t="s">
        <v>32</v>
      </c>
      <c r="C3">
        <v>0.5</v>
      </c>
    </row>
    <row r="4" spans="2:3" x14ac:dyDescent="0.2">
      <c r="B4" t="s">
        <v>33</v>
      </c>
      <c r="C4">
        <v>1</v>
      </c>
    </row>
    <row r="5" spans="2:3" x14ac:dyDescent="0.2">
      <c r="B5" t="s">
        <v>34</v>
      </c>
      <c r="C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126</vt:i4>
      </vt:variant>
    </vt:vector>
  </HeadingPairs>
  <TitlesOfParts>
    <vt:vector size="132" baseType="lpstr">
      <vt:lpstr>Build-your-own</vt:lpstr>
      <vt:lpstr>Scenario 1—Robust test increase</vt:lpstr>
      <vt:lpstr>Scenario 2—Sudden test increase</vt:lpstr>
      <vt:lpstr>Scenario 3—Hi floor low ceiling</vt:lpstr>
      <vt:lpstr>Scenario 4—Tests decrease</vt:lpstr>
      <vt:lpstr>do not delete</vt:lpstr>
      <vt:lpstr>'Build-your-own'!Begin_intermediate</vt:lpstr>
      <vt:lpstr>'Scenario 1—Robust test increase'!Begin_intermediate</vt:lpstr>
      <vt:lpstr>'Scenario 2—Sudden test increase'!Begin_intermediate</vt:lpstr>
      <vt:lpstr>'Scenario 3—Hi floor low ceiling'!Begin_intermediate</vt:lpstr>
      <vt:lpstr>Begin_intermediate</vt:lpstr>
      <vt:lpstr>'Build-your-own'!Begin_lockdown</vt:lpstr>
      <vt:lpstr>'Scenario 1—Robust test increase'!Begin_lockdown</vt:lpstr>
      <vt:lpstr>'Scenario 2—Sudden test increase'!Begin_lockdown</vt:lpstr>
      <vt:lpstr>'Scenario 3—Hi floor low ceiling'!Begin_lockdown</vt:lpstr>
      <vt:lpstr>Begin_lockdown</vt:lpstr>
      <vt:lpstr>'Build-your-own'!Cluster</vt:lpstr>
      <vt:lpstr>'Scenario 1—Robust test increase'!Cluster</vt:lpstr>
      <vt:lpstr>'Scenario 2—Sudden test increase'!Cluster</vt:lpstr>
      <vt:lpstr>'Scenario 3—Hi floor low ceiling'!Cluster</vt:lpstr>
      <vt:lpstr>Cluster</vt:lpstr>
      <vt:lpstr>Cluster_vlookup</vt:lpstr>
      <vt:lpstr>'Build-your-own'!Delay</vt:lpstr>
      <vt:lpstr>'Scenario 1—Robust test increase'!Delay</vt:lpstr>
      <vt:lpstr>'Scenario 2—Sudden test increase'!Delay</vt:lpstr>
      <vt:lpstr>'Scenario 3—Hi floor low ceiling'!Delay</vt:lpstr>
      <vt:lpstr>Delay</vt:lpstr>
      <vt:lpstr>'Build-your-own'!Desire_asy</vt:lpstr>
      <vt:lpstr>'Scenario 1—Robust test increase'!Desire_asy</vt:lpstr>
      <vt:lpstr>'Scenario 2—Sudden test increase'!Desire_asy</vt:lpstr>
      <vt:lpstr>'Scenario 3—Hi floor low ceiling'!Desire_asy</vt:lpstr>
      <vt:lpstr>Desire_asy</vt:lpstr>
      <vt:lpstr>'Build-your-own'!Desire_mild</vt:lpstr>
      <vt:lpstr>'Scenario 1—Robust test increase'!Desire_mild</vt:lpstr>
      <vt:lpstr>'Scenario 2—Sudden test increase'!Desire_mild</vt:lpstr>
      <vt:lpstr>'Scenario 3—Hi floor low ceiling'!Desire_mild</vt:lpstr>
      <vt:lpstr>Desire_mild</vt:lpstr>
      <vt:lpstr>'Build-your-own'!Desire_severe</vt:lpstr>
      <vt:lpstr>'Scenario 1—Robust test increase'!Desire_severe</vt:lpstr>
      <vt:lpstr>'Scenario 2—Sudden test increase'!Desire_severe</vt:lpstr>
      <vt:lpstr>'Scenario 3—Hi floor low ceiling'!Desire_severe</vt:lpstr>
      <vt:lpstr>Desire_severe</vt:lpstr>
      <vt:lpstr>'Build-your-own'!False_negative</vt:lpstr>
      <vt:lpstr>'Scenario 1—Robust test increase'!False_negative</vt:lpstr>
      <vt:lpstr>'Scenario 2—Sudden test increase'!False_negative</vt:lpstr>
      <vt:lpstr>'Scenario 3—Hi floor low ceiling'!False_negative</vt:lpstr>
      <vt:lpstr>False_negative</vt:lpstr>
      <vt:lpstr>'Build-your-own'!False_positive</vt:lpstr>
      <vt:lpstr>'Scenario 1—Robust test increase'!False_positive</vt:lpstr>
      <vt:lpstr>'Scenario 2—Sudden test increase'!False_positive</vt:lpstr>
      <vt:lpstr>'Scenario 3—Hi floor low ceiling'!False_positive</vt:lpstr>
      <vt:lpstr>False_positive</vt:lpstr>
      <vt:lpstr>'Build-your-own'!Faux_mild</vt:lpstr>
      <vt:lpstr>'Scenario 1—Robust test increase'!Faux_mild</vt:lpstr>
      <vt:lpstr>'Scenario 2—Sudden test increase'!Faux_mild</vt:lpstr>
      <vt:lpstr>'Scenario 3—Hi floor low ceiling'!Faux_mild</vt:lpstr>
      <vt:lpstr>Faux_mild</vt:lpstr>
      <vt:lpstr>'Build-your-own'!Faux_severe</vt:lpstr>
      <vt:lpstr>'Scenario 1—Robust test increase'!Faux_severe</vt:lpstr>
      <vt:lpstr>'Scenario 2—Sudden test increase'!Faux_severe</vt:lpstr>
      <vt:lpstr>'Scenario 3—Hi floor low ceiling'!Faux_severe</vt:lpstr>
      <vt:lpstr>Faux_severe</vt:lpstr>
      <vt:lpstr>'Build-your-own'!Initial_cases</vt:lpstr>
      <vt:lpstr>'Scenario 1—Robust test increase'!Initial_cases</vt:lpstr>
      <vt:lpstr>'Scenario 2—Sudden test increase'!Initial_cases</vt:lpstr>
      <vt:lpstr>'Scenario 3—Hi floor low ceiling'!Initial_cases</vt:lpstr>
      <vt:lpstr>Initial_cases</vt:lpstr>
      <vt:lpstr>'Build-your-own'!Initial_tests</vt:lpstr>
      <vt:lpstr>'Scenario 1—Robust test increase'!Initial_tests</vt:lpstr>
      <vt:lpstr>'Scenario 2—Sudden test increase'!Initial_tests</vt:lpstr>
      <vt:lpstr>'Scenario 3—Hi floor low ceiling'!Initial_tests</vt:lpstr>
      <vt:lpstr>Initial_tests</vt:lpstr>
      <vt:lpstr>'Build-your-own'!Pct_asy</vt:lpstr>
      <vt:lpstr>'Scenario 1—Robust test increase'!Pct_asy</vt:lpstr>
      <vt:lpstr>'Scenario 2—Sudden test increase'!Pct_asy</vt:lpstr>
      <vt:lpstr>'Scenario 3—Hi floor low ceiling'!Pct_asy</vt:lpstr>
      <vt:lpstr>Pct_asy</vt:lpstr>
      <vt:lpstr>'Build-your-own'!Pct_mild</vt:lpstr>
      <vt:lpstr>'Scenario 1—Robust test increase'!Pct_mild</vt:lpstr>
      <vt:lpstr>'Scenario 2—Sudden test increase'!Pct_mild</vt:lpstr>
      <vt:lpstr>'Scenario 3—Hi floor low ceiling'!Pct_mild</vt:lpstr>
      <vt:lpstr>Pct_mild</vt:lpstr>
      <vt:lpstr>'Build-your-own'!Population</vt:lpstr>
      <vt:lpstr>'Scenario 1—Robust test increase'!Population</vt:lpstr>
      <vt:lpstr>'Scenario 2—Sudden test increase'!Population</vt:lpstr>
      <vt:lpstr>'Scenario 3—Hi floor low ceiling'!Population</vt:lpstr>
      <vt:lpstr>Population</vt:lpstr>
      <vt:lpstr>'Build-your-own'!Ramp_period</vt:lpstr>
      <vt:lpstr>'Scenario 1—Robust test increase'!Ramp_period</vt:lpstr>
      <vt:lpstr>'Scenario 2—Sudden test increase'!Ramp_period</vt:lpstr>
      <vt:lpstr>'Scenario 3—Hi floor low ceiling'!Ramp_period</vt:lpstr>
      <vt:lpstr>Ramp_period</vt:lpstr>
      <vt:lpstr>'Build-your-own'!Rationed_tests</vt:lpstr>
      <vt:lpstr>'Scenario 1—Robust test increase'!Rationed_tests</vt:lpstr>
      <vt:lpstr>'Scenario 2—Sudden test increase'!Rationed_tests</vt:lpstr>
      <vt:lpstr>'Scenario 3—Hi floor low ceiling'!Rationed_tests</vt:lpstr>
      <vt:lpstr>Rationed_tests</vt:lpstr>
      <vt:lpstr>'Build-your-own'!Ro_intermediate</vt:lpstr>
      <vt:lpstr>'Scenario 1—Robust test increase'!Ro_intermediate</vt:lpstr>
      <vt:lpstr>'Scenario 2—Sudden test increase'!Ro_intermediate</vt:lpstr>
      <vt:lpstr>'Scenario 3—Hi floor low ceiling'!Ro_intermediate</vt:lpstr>
      <vt:lpstr>Ro_intermediate</vt:lpstr>
      <vt:lpstr>'Build-your-own'!Ro_lockdown</vt:lpstr>
      <vt:lpstr>'Scenario 1—Robust test increase'!Ro_lockdown</vt:lpstr>
      <vt:lpstr>'Scenario 2—Sudden test increase'!Ro_lockdown</vt:lpstr>
      <vt:lpstr>'Scenario 3—Hi floor low ceiling'!Ro_lockdown</vt:lpstr>
      <vt:lpstr>Ro_lockdown</vt:lpstr>
      <vt:lpstr>'Build-your-own'!Ro_uncontrolled</vt:lpstr>
      <vt:lpstr>'Scenario 1—Robust test increase'!Ro_uncontrolled</vt:lpstr>
      <vt:lpstr>'Scenario 2—Sudden test increase'!Ro_uncontrolled</vt:lpstr>
      <vt:lpstr>'Scenario 3—Hi floor low ceiling'!Ro_uncontrolled</vt:lpstr>
      <vt:lpstr>Ro_uncontrolled</vt:lpstr>
      <vt:lpstr>'Build-your-own'!Serial</vt:lpstr>
      <vt:lpstr>'Scenario 1—Robust test increase'!Serial</vt:lpstr>
      <vt:lpstr>'Scenario 2—Sudden test increase'!Serial</vt:lpstr>
      <vt:lpstr>'Scenario 3—Hi floor low ceiling'!Serial</vt:lpstr>
      <vt:lpstr>Serial</vt:lpstr>
      <vt:lpstr>'Build-your-own'!Test_growth_rate</vt:lpstr>
      <vt:lpstr>'Scenario 1—Robust test increase'!Test_growth_rate</vt:lpstr>
      <vt:lpstr>'Scenario 2—Sudden test increase'!Test_growth_rate</vt:lpstr>
      <vt:lpstr>'Scenario 3—Hi floor low ceiling'!Test_growth_rate</vt:lpstr>
      <vt:lpstr>Test_growth_rate</vt:lpstr>
      <vt:lpstr>'Build-your-own'!Tests_max</vt:lpstr>
      <vt:lpstr>'Scenario 1—Robust test increase'!Tests_max</vt:lpstr>
      <vt:lpstr>'Scenario 2—Sudden test increase'!Tests_max</vt:lpstr>
      <vt:lpstr>'Scenario 3—Hi floor low ceiling'!Tests_max</vt:lpstr>
      <vt:lpstr>Tests_max</vt:lpstr>
      <vt:lpstr>'Build-your-own'!Zero_date</vt:lpstr>
      <vt:lpstr>'Scenario 1—Robust test increase'!Zero_date</vt:lpstr>
      <vt:lpstr>'Scenario 2—Sudden test increase'!Zero_date</vt:lpstr>
      <vt:lpstr>'Scenario 3—Hi floor low ceiling'!Zero_date</vt:lpstr>
      <vt:lpstr>Zero_date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2020-03-30T20:41:38Z</dcterms:created>
  <dcterms:modified xsi:type="dcterms:W3CDTF">2020-04-04T16:31:30Z</dcterms:modified>
</cp:coreProperties>
</file>